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vg/Documents/AAPP/manoscritti/#2969 (Lucia et al)/proofs/supplementary_file_10.1478:"/>
    </mc:Choice>
  </mc:AlternateContent>
  <xr:revisionPtr revIDLastSave="0" documentId="13_ncr:1_{9AAF26B9-37C7-DA40-B6E5-F436F734C763}" xr6:coauthVersionLast="47" xr6:coauthVersionMax="47" xr10:uidLastSave="{00000000-0000-0000-0000-000000000000}"/>
  <bookViews>
    <workbookView xWindow="0" yWindow="460" windowWidth="26000" windowHeight="14320" xr2:uid="{CF9BB646-EB2A-4ECF-AEEA-B1424E0A4A48}"/>
  </bookViews>
  <sheets>
    <sheet name="Final_Tables" sheetId="19" r:id="rId1"/>
    <sheet name="Calculation_Sheet" sheetId="8" r:id="rId2"/>
    <sheet name="Quarry_data" sheetId="2" r:id="rId3"/>
    <sheet name="HHV_Arthr_Max" sheetId="9" r:id="rId4"/>
    <sheet name="HHV_Arthr_Plat" sheetId="10" r:id="rId5"/>
    <sheet name="HHV_Botryococcus_br" sheetId="11" r:id="rId6"/>
    <sheet name="HHV_Chlamy_ren" sheetId="12" r:id="rId7"/>
    <sheet name="HHV_Chlo_sp" sheetId="13" r:id="rId8"/>
    <sheet name="HHV_Chlo_pyro" sheetId="14" r:id="rId9"/>
    <sheet name="HHV_Chlo_vulg" sheetId="15" r:id="rId10"/>
    <sheet name="HHV_Haemat_pluv" sheetId="16" r:id="rId11"/>
    <sheet name="HHV_Iso_gal" sheetId="17" r:id="rId12"/>
    <sheet name="HHV_Scene_Obl" sheetId="18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9" l="1"/>
  <c r="B17" i="19"/>
  <c r="B16" i="19"/>
  <c r="B15" i="19"/>
  <c r="A14" i="19"/>
  <c r="A27" i="19" s="1"/>
  <c r="A15" i="19"/>
  <c r="A28" i="19" s="1"/>
  <c r="A16" i="19"/>
  <c r="A29" i="19" s="1"/>
  <c r="A17" i="19"/>
  <c r="A30" i="19" s="1"/>
  <c r="A18" i="19"/>
  <c r="A31" i="19" s="1"/>
  <c r="A19" i="19"/>
  <c r="A32" i="19" s="1"/>
  <c r="A20" i="19"/>
  <c r="A33" i="19" s="1"/>
  <c r="A21" i="19"/>
  <c r="A34" i="19" s="1"/>
  <c r="A22" i="19"/>
  <c r="A35" i="19" s="1"/>
  <c r="A13" i="19"/>
  <c r="A26" i="19" s="1"/>
  <c r="D9" i="19"/>
  <c r="E9" i="19"/>
  <c r="E8" i="19"/>
  <c r="G8" i="18"/>
  <c r="H5" i="18" s="1"/>
  <c r="E8" i="18"/>
  <c r="F6" i="18" s="1"/>
  <c r="C8" i="18"/>
  <c r="D5" i="18" s="1"/>
  <c r="G8" i="17"/>
  <c r="H5" i="17" s="1"/>
  <c r="E8" i="17"/>
  <c r="F6" i="17" s="1"/>
  <c r="C8" i="17"/>
  <c r="D5" i="17" s="1"/>
  <c r="G8" i="16"/>
  <c r="H6" i="16" s="1"/>
  <c r="E8" i="16"/>
  <c r="F5" i="16" s="1"/>
  <c r="C8" i="16"/>
  <c r="D4" i="16" s="1"/>
  <c r="D6" i="16"/>
  <c r="G8" i="15"/>
  <c r="H6" i="15" s="1"/>
  <c r="E8" i="15"/>
  <c r="F6" i="15" s="1"/>
  <c r="C8" i="15"/>
  <c r="D4" i="15" s="1"/>
  <c r="H7" i="15"/>
  <c r="H5" i="15"/>
  <c r="H4" i="15"/>
  <c r="C10" i="14"/>
  <c r="G8" i="14"/>
  <c r="H6" i="14" s="1"/>
  <c r="E8" i="14"/>
  <c r="F6" i="14" s="1"/>
  <c r="C8" i="14"/>
  <c r="D6" i="14" s="1"/>
  <c r="G8" i="13"/>
  <c r="H6" i="13" s="1"/>
  <c r="E8" i="13"/>
  <c r="F4" i="13" s="1"/>
  <c r="C8" i="13"/>
  <c r="D6" i="13" s="1"/>
  <c r="C10" i="12"/>
  <c r="G8" i="12"/>
  <c r="H7" i="12" s="1"/>
  <c r="E8" i="12"/>
  <c r="F6" i="12" s="1"/>
  <c r="C8" i="12"/>
  <c r="D6" i="12" s="1"/>
  <c r="F7" i="12"/>
  <c r="H6" i="12"/>
  <c r="H5" i="12"/>
  <c r="H4" i="12"/>
  <c r="F4" i="12"/>
  <c r="G8" i="11"/>
  <c r="H6" i="11" s="1"/>
  <c r="E8" i="11"/>
  <c r="F6" i="11" s="1"/>
  <c r="C8" i="11"/>
  <c r="D4" i="11" s="1"/>
  <c r="H7" i="11"/>
  <c r="F7" i="11"/>
  <c r="H5" i="11"/>
  <c r="H4" i="11"/>
  <c r="C10" i="10"/>
  <c r="G8" i="10"/>
  <c r="H5" i="10" s="1"/>
  <c r="E8" i="10"/>
  <c r="F5" i="10" s="1"/>
  <c r="C8" i="10"/>
  <c r="D7" i="10" s="1"/>
  <c r="C10" i="9"/>
  <c r="G8" i="9"/>
  <c r="H4" i="9" s="1"/>
  <c r="E8" i="9"/>
  <c r="F7" i="9" s="1"/>
  <c r="C8" i="9"/>
  <c r="D7" i="9" s="1"/>
  <c r="D1" i="2"/>
  <c r="B2" i="2"/>
  <c r="D16" i="8"/>
  <c r="P20" i="8" s="1"/>
  <c r="D13" i="19" s="1"/>
  <c r="D15" i="8"/>
  <c r="I20" i="8"/>
  <c r="T22" i="8"/>
  <c r="T23" i="8"/>
  <c r="T24" i="8"/>
  <c r="T26" i="8"/>
  <c r="T27" i="8"/>
  <c r="T20" i="8"/>
  <c r="S29" i="8"/>
  <c r="B22" i="19" s="1"/>
  <c r="S28" i="8"/>
  <c r="B21" i="19" s="1"/>
  <c r="S26" i="8"/>
  <c r="B19" i="19" s="1"/>
  <c r="S25" i="8"/>
  <c r="B18" i="19" s="1"/>
  <c r="S21" i="8"/>
  <c r="B14" i="19" s="1"/>
  <c r="S20" i="8"/>
  <c r="B13" i="19" s="1"/>
  <c r="J28" i="8"/>
  <c r="E10" i="17" s="1"/>
  <c r="I28" i="8"/>
  <c r="C10" i="17" s="1"/>
  <c r="J26" i="8"/>
  <c r="E10" i="15" s="1"/>
  <c r="J27" i="8"/>
  <c r="E10" i="16" s="1"/>
  <c r="I27" i="8"/>
  <c r="C10" i="16" s="1"/>
  <c r="J23" i="8"/>
  <c r="E10" i="12" s="1"/>
  <c r="I23" i="8"/>
  <c r="J25" i="8"/>
  <c r="E10" i="14" s="1"/>
  <c r="K25" i="8"/>
  <c r="G10" i="14" s="1"/>
  <c r="I22" i="8"/>
  <c r="C10" i="11" s="1"/>
  <c r="J22" i="8"/>
  <c r="E10" i="11" s="1"/>
  <c r="K21" i="8"/>
  <c r="G10" i="10" s="1"/>
  <c r="K22" i="8"/>
  <c r="G10" i="11" s="1"/>
  <c r="G15" i="11" s="1"/>
  <c r="K23" i="8"/>
  <c r="G10" i="12" s="1"/>
  <c r="G15" i="12" s="1"/>
  <c r="K24" i="8"/>
  <c r="G10" i="13" s="1"/>
  <c r="K26" i="8"/>
  <c r="G10" i="15" s="1"/>
  <c r="K27" i="8"/>
  <c r="G10" i="16" s="1"/>
  <c r="K28" i="8"/>
  <c r="G10" i="17" s="1"/>
  <c r="K29" i="8"/>
  <c r="G10" i="18" s="1"/>
  <c r="J21" i="8"/>
  <c r="E10" i="10" s="1"/>
  <c r="J24" i="8"/>
  <c r="E10" i="13" s="1"/>
  <c r="J29" i="8"/>
  <c r="E10" i="18" s="1"/>
  <c r="I21" i="8"/>
  <c r="I24" i="8"/>
  <c r="C10" i="13" s="1"/>
  <c r="I25" i="8"/>
  <c r="I26" i="8"/>
  <c r="C10" i="15" s="1"/>
  <c r="I29" i="8"/>
  <c r="C10" i="18" s="1"/>
  <c r="K20" i="8"/>
  <c r="G10" i="9" s="1"/>
  <c r="J20" i="8"/>
  <c r="E10" i="9" s="1"/>
  <c r="D14" i="8"/>
  <c r="E12" i="8"/>
  <c r="F12" i="8"/>
  <c r="D12" i="8"/>
  <c r="E11" i="8"/>
  <c r="E13" i="8" s="1"/>
  <c r="D8" i="19" s="1"/>
  <c r="F11" i="8"/>
  <c r="F13" i="8" s="1"/>
  <c r="D11" i="8"/>
  <c r="T25" i="8" l="1"/>
  <c r="P27" i="8"/>
  <c r="D20" i="19" s="1"/>
  <c r="G14" i="13"/>
  <c r="C9" i="19"/>
  <c r="P21" i="8"/>
  <c r="D14" i="19" s="1"/>
  <c r="P26" i="8"/>
  <c r="D19" i="19" s="1"/>
  <c r="G13" i="9"/>
  <c r="T29" i="8"/>
  <c r="T21" i="8"/>
  <c r="P25" i="8"/>
  <c r="D18" i="19" s="1"/>
  <c r="F5" i="9"/>
  <c r="F4" i="10"/>
  <c r="F5" i="13"/>
  <c r="P29" i="8"/>
  <c r="D22" i="19" s="1"/>
  <c r="P28" i="8"/>
  <c r="D21" i="19" s="1"/>
  <c r="D4" i="13"/>
  <c r="C12" i="13" s="1"/>
  <c r="T28" i="8"/>
  <c r="P24" i="8"/>
  <c r="D17" i="19" s="1"/>
  <c r="H5" i="9"/>
  <c r="F6" i="10"/>
  <c r="F6" i="13"/>
  <c r="E14" i="13" s="1"/>
  <c r="L21" i="8"/>
  <c r="P23" i="8"/>
  <c r="D16" i="19" s="1"/>
  <c r="H7" i="9"/>
  <c r="G15" i="9" s="1"/>
  <c r="H6" i="10"/>
  <c r="D7" i="13"/>
  <c r="F4" i="15"/>
  <c r="E12" i="15" s="1"/>
  <c r="D4" i="17"/>
  <c r="D7" i="18"/>
  <c r="C15" i="18" s="1"/>
  <c r="P22" i="8"/>
  <c r="D15" i="19" s="1"/>
  <c r="F7" i="10"/>
  <c r="E15" i="10" s="1"/>
  <c r="F7" i="13"/>
  <c r="E15" i="13" s="1"/>
  <c r="D4" i="14"/>
  <c r="C13" i="17"/>
  <c r="F7" i="18"/>
  <c r="E15" i="18" s="1"/>
  <c r="D4" i="18"/>
  <c r="F4" i="18"/>
  <c r="E12" i="18" s="1"/>
  <c r="F4" i="17"/>
  <c r="E12" i="17" s="1"/>
  <c r="F5" i="17"/>
  <c r="E13" i="17" s="1"/>
  <c r="E15" i="17"/>
  <c r="D6" i="17"/>
  <c r="F7" i="17"/>
  <c r="F4" i="16"/>
  <c r="D5" i="16"/>
  <c r="G14" i="16"/>
  <c r="F7" i="16"/>
  <c r="E15" i="16" s="1"/>
  <c r="F6" i="16"/>
  <c r="E14" i="16" s="1"/>
  <c r="F5" i="15"/>
  <c r="E13" i="15" s="1"/>
  <c r="G15" i="15"/>
  <c r="F7" i="15"/>
  <c r="F4" i="14"/>
  <c r="F5" i="14"/>
  <c r="E13" i="14" s="1"/>
  <c r="H5" i="14"/>
  <c r="G13" i="14" s="1"/>
  <c r="H4" i="14"/>
  <c r="G12" i="14" s="1"/>
  <c r="H7" i="14"/>
  <c r="G15" i="14" s="1"/>
  <c r="E13" i="13"/>
  <c r="F5" i="12"/>
  <c r="E13" i="12" s="1"/>
  <c r="F4" i="11"/>
  <c r="F5" i="11"/>
  <c r="D4" i="10"/>
  <c r="C12" i="10" s="1"/>
  <c r="E12" i="16"/>
  <c r="E13" i="9"/>
  <c r="C15" i="13"/>
  <c r="C14" i="14"/>
  <c r="C15" i="9"/>
  <c r="C12" i="11"/>
  <c r="C12" i="14"/>
  <c r="E14" i="14"/>
  <c r="E12" i="14"/>
  <c r="E13" i="16"/>
  <c r="I10" i="9"/>
  <c r="E11" i="9" s="1"/>
  <c r="D6" i="10"/>
  <c r="C14" i="10" s="1"/>
  <c r="D5" i="10"/>
  <c r="C13" i="10" s="1"/>
  <c r="D7" i="11"/>
  <c r="C15" i="11" s="1"/>
  <c r="D5" i="11"/>
  <c r="C13" i="11" s="1"/>
  <c r="D5" i="12"/>
  <c r="C13" i="12" s="1"/>
  <c r="D4" i="12"/>
  <c r="C12" i="12" s="1"/>
  <c r="D7" i="12"/>
  <c r="C15" i="12" s="1"/>
  <c r="D5" i="13"/>
  <c r="C13" i="13" s="1"/>
  <c r="D5" i="14"/>
  <c r="C13" i="14" s="1"/>
  <c r="D7" i="14"/>
  <c r="C15" i="14" s="1"/>
  <c r="D7" i="16"/>
  <c r="C15" i="16" s="1"/>
  <c r="C12" i="18"/>
  <c r="E14" i="18"/>
  <c r="F5" i="18"/>
  <c r="E13" i="18" s="1"/>
  <c r="D6" i="18"/>
  <c r="C14" i="18" s="1"/>
  <c r="H6" i="18"/>
  <c r="G14" i="18" s="1"/>
  <c r="C13" i="18"/>
  <c r="H4" i="18"/>
  <c r="G12" i="18" s="1"/>
  <c r="H7" i="18"/>
  <c r="G15" i="18" s="1"/>
  <c r="I10" i="18"/>
  <c r="E11" i="18" s="1"/>
  <c r="G13" i="18"/>
  <c r="G13" i="17"/>
  <c r="E14" i="17"/>
  <c r="C12" i="17"/>
  <c r="C14" i="17"/>
  <c r="H6" i="17"/>
  <c r="G14" i="17" s="1"/>
  <c r="D7" i="17"/>
  <c r="C15" i="17" s="1"/>
  <c r="H4" i="17"/>
  <c r="G12" i="17"/>
  <c r="H7" i="17"/>
  <c r="G15" i="17" s="1"/>
  <c r="I10" i="17"/>
  <c r="C14" i="16"/>
  <c r="C13" i="16"/>
  <c r="C12" i="16"/>
  <c r="H4" i="16"/>
  <c r="G12" i="16" s="1"/>
  <c r="H7" i="16"/>
  <c r="G15" i="16" s="1"/>
  <c r="I10" i="16"/>
  <c r="C11" i="16" s="1"/>
  <c r="H5" i="16"/>
  <c r="G13" i="16" s="1"/>
  <c r="D5" i="15"/>
  <c r="C13" i="15" s="1"/>
  <c r="D7" i="15"/>
  <c r="C15" i="15" s="1"/>
  <c r="E14" i="15"/>
  <c r="E15" i="15"/>
  <c r="C12" i="15"/>
  <c r="G12" i="15"/>
  <c r="G14" i="15"/>
  <c r="I10" i="15"/>
  <c r="C11" i="15" s="1"/>
  <c r="D6" i="15"/>
  <c r="C14" i="15" s="1"/>
  <c r="G13" i="15"/>
  <c r="F7" i="14"/>
  <c r="E15" i="14" s="1"/>
  <c r="G14" i="14"/>
  <c r="I10" i="14"/>
  <c r="E11" i="14" s="1"/>
  <c r="E12" i="13"/>
  <c r="C14" i="13"/>
  <c r="H4" i="13"/>
  <c r="G12" i="13"/>
  <c r="H7" i="13"/>
  <c r="G15" i="13" s="1"/>
  <c r="I10" i="13"/>
  <c r="C11" i="13" s="1"/>
  <c r="H5" i="13"/>
  <c r="G13" i="13" s="1"/>
  <c r="E15" i="12"/>
  <c r="E12" i="12"/>
  <c r="E14" i="12"/>
  <c r="C14" i="12"/>
  <c r="G12" i="12"/>
  <c r="G14" i="12"/>
  <c r="I10" i="12"/>
  <c r="G11" i="12" s="1"/>
  <c r="G13" i="12"/>
  <c r="L22" i="8"/>
  <c r="I10" i="11"/>
  <c r="C11" i="11" s="1"/>
  <c r="E15" i="11"/>
  <c r="E14" i="11"/>
  <c r="E13" i="11"/>
  <c r="E12" i="11"/>
  <c r="I15" i="11"/>
  <c r="G12" i="11"/>
  <c r="G14" i="11"/>
  <c r="D6" i="11"/>
  <c r="C14" i="11" s="1"/>
  <c r="G13" i="11"/>
  <c r="E14" i="10"/>
  <c r="E12" i="10"/>
  <c r="E13" i="10"/>
  <c r="C15" i="10"/>
  <c r="H4" i="10"/>
  <c r="G12" i="10" s="1"/>
  <c r="H7" i="10"/>
  <c r="G15" i="10" s="1"/>
  <c r="G14" i="10"/>
  <c r="I10" i="10"/>
  <c r="E11" i="10" s="1"/>
  <c r="G13" i="10"/>
  <c r="G12" i="9"/>
  <c r="E15" i="9"/>
  <c r="F6" i="9"/>
  <c r="E14" i="9" s="1"/>
  <c r="D4" i="9"/>
  <c r="C12" i="9" s="1"/>
  <c r="D5" i="9"/>
  <c r="C13" i="9" s="1"/>
  <c r="D6" i="9"/>
  <c r="C14" i="9" s="1"/>
  <c r="H6" i="9"/>
  <c r="G14" i="9" s="1"/>
  <c r="F4" i="9"/>
  <c r="E12" i="9" s="1"/>
  <c r="D13" i="8"/>
  <c r="L20" i="8"/>
  <c r="Q20" i="8" s="1"/>
  <c r="L29" i="8"/>
  <c r="L28" i="8"/>
  <c r="L27" i="8"/>
  <c r="L26" i="8"/>
  <c r="L23" i="8"/>
  <c r="L25" i="8"/>
  <c r="L24" i="8"/>
  <c r="N21" i="8" l="1"/>
  <c r="C14" i="19" s="1"/>
  <c r="C8" i="19"/>
  <c r="I14" i="16"/>
  <c r="I13" i="9"/>
  <c r="I15" i="13"/>
  <c r="I14" i="14"/>
  <c r="I12" i="15"/>
  <c r="I13" i="10"/>
  <c r="I14" i="18"/>
  <c r="I12" i="14"/>
  <c r="I13" i="17"/>
  <c r="C11" i="9"/>
  <c r="G11" i="9"/>
  <c r="I15" i="9"/>
  <c r="I15" i="12"/>
  <c r="I13" i="13"/>
  <c r="I15" i="14"/>
  <c r="I13" i="11"/>
  <c r="I12" i="11"/>
  <c r="I12" i="12"/>
  <c r="I13" i="12"/>
  <c r="G11" i="14"/>
  <c r="I15" i="15"/>
  <c r="I15" i="17"/>
  <c r="I14" i="17"/>
  <c r="I13" i="18"/>
  <c r="I15" i="18"/>
  <c r="I12" i="18"/>
  <c r="C11" i="18"/>
  <c r="G11" i="18"/>
  <c r="I13" i="16"/>
  <c r="I12" i="17"/>
  <c r="E11" i="17"/>
  <c r="G11" i="17"/>
  <c r="C11" i="17"/>
  <c r="I15" i="16"/>
  <c r="I12" i="16"/>
  <c r="G11" i="16"/>
  <c r="E11" i="16"/>
  <c r="G11" i="15"/>
  <c r="I14" i="15"/>
  <c r="I13" i="15"/>
  <c r="E11" i="15"/>
  <c r="I13" i="14"/>
  <c r="C11" i="14"/>
  <c r="I12" i="13"/>
  <c r="I14" i="13"/>
  <c r="G11" i="13"/>
  <c r="E11" i="13"/>
  <c r="I14" i="12"/>
  <c r="C11" i="12"/>
  <c r="E11" i="12"/>
  <c r="E11" i="11"/>
  <c r="G11" i="11"/>
  <c r="I14" i="11"/>
  <c r="G11" i="10"/>
  <c r="I14" i="10"/>
  <c r="I12" i="10"/>
  <c r="I15" i="10"/>
  <c r="C11" i="10"/>
  <c r="I14" i="9"/>
  <c r="I12" i="9"/>
  <c r="N23" i="8"/>
  <c r="N24" i="8"/>
  <c r="N25" i="8"/>
  <c r="N26" i="8"/>
  <c r="C19" i="19" s="1"/>
  <c r="N28" i="8"/>
  <c r="C21" i="19" s="1"/>
  <c r="N29" i="8"/>
  <c r="N22" i="8"/>
  <c r="C15" i="19" s="1"/>
  <c r="N27" i="8"/>
  <c r="C20" i="19" s="1"/>
  <c r="N20" i="8"/>
  <c r="C13" i="19" s="1"/>
  <c r="O21" i="8"/>
  <c r="Q26" i="8"/>
  <c r="Q27" i="8"/>
  <c r="Q28" i="8"/>
  <c r="Q21" i="8"/>
  <c r="Q29" i="8"/>
  <c r="Q22" i="8"/>
  <c r="Q23" i="8"/>
  <c r="Q24" i="8"/>
  <c r="Q25" i="8"/>
  <c r="O23" i="8" l="1"/>
  <c r="C16" i="19"/>
  <c r="O24" i="8"/>
  <c r="C17" i="19"/>
  <c r="O29" i="8"/>
  <c r="C22" i="19"/>
  <c r="O28" i="8"/>
  <c r="O25" i="8"/>
  <c r="C18" i="19"/>
  <c r="K12" i="11"/>
  <c r="V22" i="8" s="1"/>
  <c r="K12" i="14"/>
  <c r="V25" i="8" s="1"/>
  <c r="K12" i="9"/>
  <c r="V20" i="8" s="1"/>
  <c r="K12" i="12"/>
  <c r="V23" i="8" s="1"/>
  <c r="K12" i="17"/>
  <c r="V28" i="8" s="1"/>
  <c r="K12" i="18"/>
  <c r="V29" i="8" s="1"/>
  <c r="K12" i="16"/>
  <c r="V27" i="8" s="1"/>
  <c r="K12" i="15"/>
  <c r="V26" i="8" s="1"/>
  <c r="K12" i="13"/>
  <c r="V24" i="8" s="1"/>
  <c r="K12" i="10"/>
  <c r="V21" i="8" s="1"/>
  <c r="O22" i="8"/>
  <c r="O27" i="8"/>
  <c r="O20" i="8"/>
  <c r="O26" i="8"/>
  <c r="E13" i="19" l="1"/>
  <c r="E22" i="19"/>
  <c r="E21" i="19"/>
  <c r="X28" i="8"/>
  <c r="Y28" i="8" s="1"/>
  <c r="B34" i="19" s="1"/>
  <c r="X27" i="8"/>
  <c r="Y27" i="8" s="1"/>
  <c r="B33" i="19" s="1"/>
  <c r="E20" i="19"/>
  <c r="E19" i="19"/>
  <c r="X26" i="8"/>
  <c r="Y26" i="8" s="1"/>
  <c r="B32" i="19" s="1"/>
  <c r="E18" i="19"/>
  <c r="E17" i="19"/>
  <c r="X24" i="8"/>
  <c r="Y24" i="8" s="1"/>
  <c r="B30" i="19" s="1"/>
  <c r="X23" i="8"/>
  <c r="Y23" i="8" s="1"/>
  <c r="B29" i="19" s="1"/>
  <c r="E16" i="19"/>
  <c r="X22" i="8"/>
  <c r="Y22" i="8" s="1"/>
  <c r="B28" i="19" s="1"/>
  <c r="E15" i="19"/>
  <c r="E14" i="19"/>
  <c r="B3" i="2"/>
  <c r="X20" i="8" s="1"/>
  <c r="Y20" i="8" s="1"/>
  <c r="B26" i="19" s="1"/>
  <c r="X21" i="8" l="1"/>
  <c r="Y21" i="8" s="1"/>
  <c r="B27" i="19" s="1"/>
  <c r="X29" i="8"/>
  <c r="Y29" i="8" s="1"/>
  <c r="B35" i="19" s="1"/>
  <c r="X25" i="8"/>
  <c r="Y25" i="8" s="1"/>
  <c r="B31" i="19" s="1"/>
  <c r="E2" i="2"/>
  <c r="B4" i="2" s="1"/>
  <c r="D3" i="2" l="1"/>
  <c r="D4" i="2" s="1"/>
</calcChain>
</file>

<file path=xl/sharedStrings.xml><?xml version="1.0" encoding="utf-8"?>
<sst xmlns="http://schemas.openxmlformats.org/spreadsheetml/2006/main" count="313" uniqueCount="80">
  <si>
    <t>a</t>
  </si>
  <si>
    <t>b</t>
  </si>
  <si>
    <t>c</t>
  </si>
  <si>
    <t>d</t>
  </si>
  <si>
    <t>num</t>
  </si>
  <si>
    <t>min</t>
  </si>
  <si>
    <t>max</t>
  </si>
  <si>
    <t>Botryococcus braunii</t>
  </si>
  <si>
    <t>Chlorella vulgaris</t>
  </si>
  <si>
    <t>Chlamydomonas rheinhardii</t>
  </si>
  <si>
    <t>Scenedesmus obliquus</t>
  </si>
  <si>
    <t>m</t>
  </si>
  <si>
    <t>L</t>
  </si>
  <si>
    <t>Proteins</t>
  </si>
  <si>
    <t>Carbohydrates</t>
  </si>
  <si>
    <t>Lipids</t>
  </si>
  <si>
    <t>V</t>
  </si>
  <si>
    <t>TAY</t>
  </si>
  <si>
    <t>VS basis [LCH4/gVS]</t>
  </si>
  <si>
    <t>TS basis [LCH4/gTS]</t>
  </si>
  <si>
    <t>TS basis [mg/gTS]</t>
  </si>
  <si>
    <t>Ammonia</t>
  </si>
  <si>
    <t>Arthrospira maxima</t>
  </si>
  <si>
    <t>Arthrospira platensis</t>
  </si>
  <si>
    <t>Chlorella sp</t>
  </si>
  <si>
    <t xml:space="preserve">Chlorella pyrenoidosa </t>
  </si>
  <si>
    <t>Haematococcus pluvialis</t>
  </si>
  <si>
    <t>Isochrysis galbana</t>
  </si>
  <si>
    <t>O</t>
  </si>
  <si>
    <t>N</t>
  </si>
  <si>
    <t>H</t>
  </si>
  <si>
    <t>C</t>
  </si>
  <si>
    <t>VS</t>
  </si>
  <si>
    <t>ha</t>
  </si>
  <si>
    <t>Molar volume</t>
  </si>
  <si>
    <t>den</t>
  </si>
  <si>
    <t>TMY</t>
  </si>
  <si>
    <t xml:space="preserve">TMY </t>
  </si>
  <si>
    <t>-</t>
  </si>
  <si>
    <t>Methane</t>
  </si>
  <si>
    <t>mean</t>
  </si>
  <si>
    <t>P</t>
  </si>
  <si>
    <t>sum</t>
  </si>
  <si>
    <t>Total</t>
  </si>
  <si>
    <t>TS basis [mg/gVS]</t>
  </si>
  <si>
    <t xml:space="preserve">Proteins % </t>
  </si>
  <si>
    <t>Carbohydrates %</t>
  </si>
  <si>
    <t xml:space="preserve">Lipids % </t>
  </si>
  <si>
    <t>Specie (Li et al.,2019)</t>
  </si>
  <si>
    <t>total</t>
  </si>
  <si>
    <t>Area</t>
  </si>
  <si>
    <t>Depth</t>
  </si>
  <si>
    <t>Volume</t>
  </si>
  <si>
    <t>HHV [MJ/kg]</t>
  </si>
  <si>
    <t>Biomass composition %</t>
  </si>
  <si>
    <t>HHV</t>
  </si>
  <si>
    <t>[MJ/kg]</t>
  </si>
  <si>
    <t xml:space="preserve">Biomass productivity </t>
  </si>
  <si>
    <t>[g/L/d]</t>
  </si>
  <si>
    <t>PBR</t>
  </si>
  <si>
    <t>Open pond</t>
  </si>
  <si>
    <t>Reaction (coefficients)</t>
  </si>
  <si>
    <t>Proteins (Angelidaki &amp; Sanders, 2004)</t>
  </si>
  <si>
    <t>[GJ/ha/yr]</t>
  </si>
  <si>
    <t>Quarry</t>
  </si>
  <si>
    <t>[GJ/yr]</t>
  </si>
  <si>
    <r>
      <t>[L</t>
    </r>
    <r>
      <rPr>
        <vertAlign val="subscript"/>
        <sz val="11"/>
        <color theme="1"/>
        <rFont val="Calibri"/>
        <family val="2"/>
        <scheme val="minor"/>
      </rPr>
      <t>CH_4</t>
    </r>
    <r>
      <rPr>
        <sz val="11"/>
        <color theme="1"/>
        <rFont val="Calibri"/>
        <family val="2"/>
        <scheme val="minor"/>
      </rPr>
      <t>/g</t>
    </r>
    <r>
      <rPr>
        <vertAlign val="subscript"/>
        <sz val="11"/>
        <color theme="1"/>
        <rFont val="Calibri"/>
        <family val="2"/>
        <scheme val="minor"/>
      </rPr>
      <t>TS</t>
    </r>
    <r>
      <rPr>
        <sz val="11"/>
        <color theme="1"/>
        <rFont val="Calibri"/>
        <family val="2"/>
        <scheme val="minor"/>
      </rPr>
      <t>]</t>
    </r>
  </si>
  <si>
    <r>
      <t>[mg/g</t>
    </r>
    <r>
      <rPr>
        <vertAlign val="subscript"/>
        <sz val="11"/>
        <color theme="1"/>
        <rFont val="Calibri"/>
        <family val="2"/>
        <scheme val="minor"/>
      </rPr>
      <t>TS</t>
    </r>
    <r>
      <rPr>
        <sz val="11"/>
        <color theme="1"/>
        <rFont val="Calibri"/>
        <family val="2"/>
        <scheme val="minor"/>
      </rPr>
      <t>]</t>
    </r>
  </si>
  <si>
    <t>Table 2</t>
  </si>
  <si>
    <t>[mg/g]</t>
  </si>
  <si>
    <t>Table 3</t>
  </si>
  <si>
    <t>Specie</t>
  </si>
  <si>
    <t>Table 4</t>
  </si>
  <si>
    <t>Energy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</si>
  <si>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</si>
  <si>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</si>
  <si>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Biofuels from abandoned mines: A starting point for future developments</t>
  </si>
  <si>
    <t>U. Lucia, D. Fino and G. Grisolia</t>
  </si>
  <si>
    <t>DOI: 10.1478/AAPP.992SC1</t>
  </si>
  <si>
    <t>Supplementary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</si>
</sst>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 (Corpo)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1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Border="1"/>
    <xf numFmtId="164" fontId="0" fillId="0" borderId="0" xfId="0" applyNumberFormat="1"/>
    <xf numFmtId="0" fontId="3" fillId="0" borderId="0" xfId="0" applyFont="1"/>
    <xf numFmtId="0" fontId="5" fillId="0" borderId="0" xfId="0" applyFont="1" applyAlignment="1">
      <alignment horizontal="center"/>
    </xf>
    <xf numFmtId="165" fontId="0" fillId="0" borderId="0" xfId="0" applyNumberFormat="1"/>
    <xf numFmtId="0" fontId="0" fillId="0" borderId="0" xfId="0" applyFill="1"/>
    <xf numFmtId="2" fontId="0" fillId="2" borderId="0" xfId="0" applyNumberFormat="1" applyFill="1"/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164" fontId="0" fillId="0" borderId="0" xfId="0" applyNumberFormat="1" applyFill="1" applyBorder="1"/>
    <xf numFmtId="0" fontId="0" fillId="0" borderId="0" xfId="0" applyFill="1" applyAlignment="1">
      <alignment horizontal="center"/>
    </xf>
    <xf numFmtId="0" fontId="5" fillId="0" borderId="0" xfId="0" applyFont="1"/>
    <xf numFmtId="0" fontId="0" fillId="0" borderId="0" xfId="0" applyAlignment="1"/>
    <xf numFmtId="0" fontId="8" fillId="0" borderId="0" xfId="0" applyFont="1" applyAlignment="1"/>
    <xf numFmtId="0" fontId="2" fillId="0" borderId="0" xfId="0" applyFont="1" applyAlignme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/>
    <xf numFmtId="0" fontId="1" fillId="0" borderId="0" xfId="0" applyFont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6FD57-AFEA-472E-9E35-CB9D12F4957C}">
  <dimension ref="A1:I35"/>
  <sheetViews>
    <sheetView tabSelected="1" workbookViewId="0">
      <selection activeCell="I4" sqref="I4"/>
    </sheetView>
  </sheetViews>
  <sheetFormatPr baseColWidth="10" defaultColWidth="8.83203125" defaultRowHeight="15" x14ac:dyDescent="0.2"/>
  <cols>
    <col min="1" max="1" width="24.1640625" customWidth="1"/>
    <col min="4" max="4" width="8.83203125" customWidth="1"/>
  </cols>
  <sheetData>
    <row r="1" spans="1:9" ht="19" x14ac:dyDescent="0.25">
      <c r="A1" s="26" t="s">
        <v>76</v>
      </c>
      <c r="B1" s="22"/>
      <c r="C1" s="22"/>
      <c r="D1" s="22"/>
      <c r="E1" s="22"/>
      <c r="F1" s="22"/>
      <c r="G1" s="22"/>
      <c r="H1" s="22"/>
      <c r="I1" s="22"/>
    </row>
    <row r="2" spans="1:9" ht="16" x14ac:dyDescent="0.2">
      <c r="A2" s="27" t="s">
        <v>77</v>
      </c>
      <c r="B2" s="23"/>
      <c r="C2" s="23"/>
      <c r="D2" s="23"/>
      <c r="E2" s="23"/>
      <c r="F2" s="21"/>
      <c r="G2" s="21"/>
      <c r="H2" s="21"/>
      <c r="I2" s="21"/>
    </row>
    <row r="3" spans="1:9" ht="16" x14ac:dyDescent="0.2">
      <c r="A3" s="23" t="s">
        <v>78</v>
      </c>
      <c r="B3" s="23"/>
      <c r="C3" s="23"/>
      <c r="D3" s="23"/>
      <c r="E3" s="23"/>
      <c r="F3" s="21"/>
      <c r="G3" s="21"/>
      <c r="H3" s="21"/>
      <c r="I3" s="21"/>
    </row>
    <row r="4" spans="1:9" ht="16" x14ac:dyDescent="0.2">
      <c r="A4" s="23" t="s">
        <v>79</v>
      </c>
      <c r="B4" s="23"/>
      <c r="C4" s="23"/>
      <c r="D4" s="23"/>
      <c r="E4" s="23"/>
      <c r="F4" s="21"/>
      <c r="G4" s="21"/>
      <c r="H4" s="21"/>
      <c r="I4" s="21"/>
    </row>
    <row r="6" spans="1:9" x14ac:dyDescent="0.2">
      <c r="A6" s="16" t="s">
        <v>68</v>
      </c>
    </row>
    <row r="7" spans="1:9" x14ac:dyDescent="0.2">
      <c r="C7" t="s">
        <v>13</v>
      </c>
      <c r="D7" t="s">
        <v>14</v>
      </c>
      <c r="E7" t="s">
        <v>15</v>
      </c>
    </row>
    <row r="8" spans="1:9" ht="17" x14ac:dyDescent="0.25">
      <c r="A8" s="10" t="s">
        <v>36</v>
      </c>
      <c r="B8" t="s">
        <v>66</v>
      </c>
      <c r="C8" s="9">
        <f>Calculation_Sheet!D13</f>
        <v>0.49588495575221242</v>
      </c>
      <c r="D8" s="9">
        <f>Calculation_Sheet!E13</f>
        <v>0.4150740740740741</v>
      </c>
      <c r="E8" s="9">
        <f>Calculation_Sheet!F13</f>
        <v>1.0142081447963802</v>
      </c>
    </row>
    <row r="9" spans="1:9" ht="17" x14ac:dyDescent="0.25">
      <c r="A9" t="s">
        <v>17</v>
      </c>
      <c r="B9" t="s">
        <v>67</v>
      </c>
      <c r="C9" s="6">
        <f>Calculation_Sheet!D16</f>
        <v>150.44247787610618</v>
      </c>
      <c r="D9" s="6" t="str">
        <f>Calculation_Sheet!E16</f>
        <v>-</v>
      </c>
      <c r="E9" s="6" t="str">
        <f>Calculation_Sheet!F16</f>
        <v>-</v>
      </c>
    </row>
    <row r="11" spans="1:9" x14ac:dyDescent="0.2">
      <c r="A11" s="16" t="s">
        <v>70</v>
      </c>
      <c r="B11" s="2" t="s">
        <v>41</v>
      </c>
      <c r="C11" s="2" t="s">
        <v>36</v>
      </c>
      <c r="D11" s="2" t="s">
        <v>17</v>
      </c>
      <c r="E11" s="2" t="s">
        <v>55</v>
      </c>
    </row>
    <row r="12" spans="1:9" ht="17" x14ac:dyDescent="0.25">
      <c r="A12" t="s">
        <v>71</v>
      </c>
      <c r="B12" s="7" t="s">
        <v>58</v>
      </c>
      <c r="C12" s="7" t="s">
        <v>66</v>
      </c>
      <c r="D12" s="7" t="s">
        <v>69</v>
      </c>
      <c r="E12" s="7" t="s">
        <v>56</v>
      </c>
    </row>
    <row r="13" spans="1:9" x14ac:dyDescent="0.2">
      <c r="A13" s="10" t="str">
        <f>Calculation_Sheet!B20</f>
        <v>Arthrospira maxima</v>
      </c>
      <c r="B13">
        <f>Calculation_Sheet!$S$20</f>
        <v>0.22999999999999998</v>
      </c>
      <c r="C13" s="9">
        <f>Calculation_Sheet!N20</f>
        <v>0.4509139161702046</v>
      </c>
      <c r="D13" s="5">
        <f>Calculation_Sheet!$P$20</f>
        <v>81.043369884487547</v>
      </c>
      <c r="E13" s="5">
        <f>Calculation_Sheet!$V$20</f>
        <v>18.717502215252885</v>
      </c>
    </row>
    <row r="14" spans="1:9" x14ac:dyDescent="0.2">
      <c r="A14" s="10" t="str">
        <f>Calculation_Sheet!B21</f>
        <v>Arthrospira platensis</v>
      </c>
      <c r="B14">
        <f>Calculation_Sheet!$S$21</f>
        <v>2.1799999999999997</v>
      </c>
      <c r="C14" s="9">
        <f>Calculation_Sheet!N21</f>
        <v>0.41969383206381411</v>
      </c>
      <c r="D14" s="5">
        <f>Calculation_Sheet!$P$21</f>
        <v>61.617707179350838</v>
      </c>
      <c r="E14" s="5">
        <f>Calculation_Sheet!$V$21</f>
        <v>17.130356170541923</v>
      </c>
    </row>
    <row r="15" spans="1:9" x14ac:dyDescent="0.2">
      <c r="A15" s="10" t="str">
        <f>Calculation_Sheet!B22</f>
        <v>Botryococcus braunii</v>
      </c>
      <c r="B15">
        <f>Calculation_Sheet!$S$22</f>
        <v>0.02</v>
      </c>
      <c r="C15" s="9">
        <f>Calculation_Sheet!N22</f>
        <v>0.36792624330721624</v>
      </c>
      <c r="D15" s="5">
        <f>Calculation_Sheet!$P$22</f>
        <v>27.220673854331697</v>
      </c>
      <c r="E15" s="5">
        <f>Calculation_Sheet!$V$22</f>
        <v>14.372913849829979</v>
      </c>
    </row>
    <row r="16" spans="1:9" x14ac:dyDescent="0.2">
      <c r="A16" s="10" t="str">
        <f>Calculation_Sheet!B23</f>
        <v>Chlamydomonas rheinhardii</v>
      </c>
      <c r="B16">
        <f>Calculation_Sheet!$S$23</f>
        <v>1.41</v>
      </c>
      <c r="C16" s="9">
        <f>Calculation_Sheet!N23</f>
        <v>0.52106397768849622</v>
      </c>
      <c r="D16" s="5">
        <f>Calculation_Sheet!$P$23</f>
        <v>59.39056113672369</v>
      </c>
      <c r="E16" s="5">
        <f>Calculation_Sheet!$V$23</f>
        <v>20.814054956652267</v>
      </c>
    </row>
    <row r="17" spans="1:5" x14ac:dyDescent="0.2">
      <c r="A17" s="10" t="str">
        <f>Calculation_Sheet!B24</f>
        <v>Chlorella sp</v>
      </c>
      <c r="B17">
        <f>Calculation_Sheet!$S$24</f>
        <v>1.26</v>
      </c>
      <c r="C17" s="9">
        <f>Calculation_Sheet!N24</f>
        <v>0.62456340361664675</v>
      </c>
      <c r="D17" s="5">
        <f>Calculation_Sheet!$P$24</f>
        <v>67.4330329573217</v>
      </c>
      <c r="E17" s="5">
        <f>Calculation_Sheet!$V$24</f>
        <v>24.781330689198295</v>
      </c>
    </row>
    <row r="18" spans="1:5" x14ac:dyDescent="0.2">
      <c r="A18" s="10" t="str">
        <f>Calculation_Sheet!B25</f>
        <v xml:space="preserve">Chlorella pyrenoidosa </v>
      </c>
      <c r="B18">
        <f>Calculation_Sheet!$S$25</f>
        <v>0.52500000000000002</v>
      </c>
      <c r="C18" s="9">
        <f>Calculation_Sheet!N25</f>
        <v>0.57602061281739836</v>
      </c>
      <c r="D18" s="5">
        <f>Calculation_Sheet!$P$25</f>
        <v>72.629707056785023</v>
      </c>
      <c r="E18" s="5">
        <f>Calculation_Sheet!$V$25</f>
        <v>23.205017488052569</v>
      </c>
    </row>
    <row r="19" spans="1:5" x14ac:dyDescent="0.2">
      <c r="A19" s="10" t="str">
        <f>Calculation_Sheet!B26</f>
        <v>Chlorella vulgaris</v>
      </c>
      <c r="B19">
        <f>Calculation_Sheet!$S$26</f>
        <v>0.11</v>
      </c>
      <c r="C19" s="9">
        <f>Calculation_Sheet!N26</f>
        <v>0.64369249612544521</v>
      </c>
      <c r="D19" s="5">
        <f>Calculation_Sheet!$P$26</f>
        <v>67.4330329573217</v>
      </c>
      <c r="E19" s="5">
        <f>Calculation_Sheet!$V$26</f>
        <v>25.465400489768101</v>
      </c>
    </row>
    <row r="20" spans="1:5" x14ac:dyDescent="0.2">
      <c r="A20" s="10" t="str">
        <f>Calculation_Sheet!B27</f>
        <v>Haematococcus pluvialis</v>
      </c>
      <c r="B20">
        <f>Calculation_Sheet!$S$27</f>
        <v>5.5E-2</v>
      </c>
      <c r="C20" s="9">
        <f>Calculation_Sheet!N27</f>
        <v>0.55293640772033803</v>
      </c>
      <c r="D20" s="5">
        <f>Calculation_Sheet!$P$27</f>
        <v>59.39056113672369</v>
      </c>
      <c r="E20" s="5">
        <f>Calculation_Sheet!$V$27</f>
        <v>22.118324234904879</v>
      </c>
    </row>
    <row r="21" spans="1:5" x14ac:dyDescent="0.2">
      <c r="A21" s="10" t="str">
        <f>Calculation_Sheet!B28</f>
        <v>Isochrysis galbana</v>
      </c>
      <c r="B21">
        <f>Calculation_Sheet!$S$28</f>
        <v>0.91500000000000004</v>
      </c>
      <c r="C21" s="9">
        <f>Calculation_Sheet!N28</f>
        <v>0.44279044467283935</v>
      </c>
      <c r="D21" s="5">
        <f>Calculation_Sheet!$P$28</f>
        <v>33.407190639407077</v>
      </c>
      <c r="E21" s="5">
        <f>Calculation_Sheet!$V$28</f>
        <v>17.31334323208651</v>
      </c>
    </row>
    <row r="22" spans="1:5" x14ac:dyDescent="0.2">
      <c r="A22" s="10" t="str">
        <f>Calculation_Sheet!B29</f>
        <v>Scenedesmus obliquus</v>
      </c>
      <c r="B22">
        <f>Calculation_Sheet!$S$29</f>
        <v>3.9E-2</v>
      </c>
      <c r="C22" s="9">
        <f>Calculation_Sheet!N29</f>
        <v>0.55882868778280548</v>
      </c>
      <c r="D22" s="5">
        <f>Calculation_Sheet!$P$29</f>
        <v>41.94458380281111</v>
      </c>
      <c r="E22" s="5">
        <f>Calculation_Sheet!$V$29</f>
        <v>21.740620337055418</v>
      </c>
    </row>
    <row r="24" spans="1:5" x14ac:dyDescent="0.2">
      <c r="A24" s="16" t="s">
        <v>72</v>
      </c>
      <c r="B24" s="7" t="s">
        <v>73</v>
      </c>
    </row>
    <row r="25" spans="1:5" x14ac:dyDescent="0.2">
      <c r="B25" s="7" t="s">
        <v>65</v>
      </c>
    </row>
    <row r="26" spans="1:5" x14ac:dyDescent="0.2">
      <c r="A26" s="10" t="str">
        <f t="shared" ref="A26:A35" si="0">A13</f>
        <v>Arthrospira maxima</v>
      </c>
      <c r="B26" s="6">
        <f>Calculation_Sheet!$Y$20</f>
        <v>9540.244030892196</v>
      </c>
    </row>
    <row r="27" spans="1:5" x14ac:dyDescent="0.2">
      <c r="A27" s="10" t="str">
        <f t="shared" si="0"/>
        <v>Arthrospira platensis</v>
      </c>
      <c r="B27" s="6">
        <f>Calculation_Sheet!$Y$21</f>
        <v>82757.362458322663</v>
      </c>
    </row>
    <row r="28" spans="1:5" x14ac:dyDescent="0.2">
      <c r="A28" s="10" t="str">
        <f t="shared" si="0"/>
        <v>Botryococcus braunii</v>
      </c>
      <c r="B28" s="6">
        <f>Calculation_Sheet!$Y$22</f>
        <v>637.02807455853576</v>
      </c>
    </row>
    <row r="29" spans="1:5" x14ac:dyDescent="0.2">
      <c r="A29" s="10" t="str">
        <f t="shared" si="0"/>
        <v>Chlamydomonas rheinhardii</v>
      </c>
      <c r="B29" s="6">
        <f>Calculation_Sheet!$Y$23</f>
        <v>65036.859828035173</v>
      </c>
    </row>
    <row r="30" spans="1:5" x14ac:dyDescent="0.2">
      <c r="A30" s="10" t="str">
        <f t="shared" si="0"/>
        <v>Chlorella sp</v>
      </c>
      <c r="B30" s="6">
        <f>Calculation_Sheet!$Y$24</f>
        <v>69195.670616913936</v>
      </c>
    </row>
    <row r="31" spans="1:5" x14ac:dyDescent="0.2">
      <c r="A31" s="10" t="str">
        <f t="shared" si="0"/>
        <v xml:space="preserve">Chlorella pyrenoidosa </v>
      </c>
      <c r="B31" s="6">
        <f>Calculation_Sheet!$Y$25</f>
        <v>26997.587533756159</v>
      </c>
    </row>
    <row r="32" spans="1:5" x14ac:dyDescent="0.2">
      <c r="A32" s="10" t="str">
        <f t="shared" si="0"/>
        <v>Chlorella vulgaris</v>
      </c>
      <c r="B32" s="6">
        <f>Calculation_Sheet!$Y$26</f>
        <v>6207.6461086754362</v>
      </c>
    </row>
    <row r="33" spans="1:2" x14ac:dyDescent="0.2">
      <c r="A33" s="10" t="str">
        <f t="shared" si="0"/>
        <v>Haematococcus pluvialis</v>
      </c>
      <c r="B33" s="6">
        <f>Calculation_Sheet!$Y$27</f>
        <v>2695.8682511668439</v>
      </c>
    </row>
    <row r="34" spans="1:2" x14ac:dyDescent="0.2">
      <c r="A34" s="10" t="str">
        <f t="shared" si="0"/>
        <v>Isochrysis galbana</v>
      </c>
      <c r="B34" s="6">
        <f>Calculation_Sheet!$Y$28</f>
        <v>35106.358821754853</v>
      </c>
    </row>
    <row r="35" spans="1:2" x14ac:dyDescent="0.2">
      <c r="A35" s="10" t="str">
        <f t="shared" si="0"/>
        <v>Scenedesmus obliquus</v>
      </c>
      <c r="B35" s="6">
        <f>Calculation_Sheet!$Y$29</f>
        <v>1878.9719351663307</v>
      </c>
    </row>
  </sheetData>
  <mergeCells count="4">
    <mergeCell ref="A1:I1"/>
    <mergeCell ref="A2:E2"/>
    <mergeCell ref="A3:E3"/>
    <mergeCell ref="A4:E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8151D-BE7C-4BFF-8899-0020A3794856}">
  <dimension ref="A1:P63"/>
  <sheetViews>
    <sheetView zoomScale="90" zoomScaleNormal="90" workbookViewId="0">
      <selection activeCell="N23" sqref="N23"/>
    </sheetView>
  </sheetViews>
  <sheetFormatPr baseColWidth="10" defaultColWidth="8.83203125" defaultRowHeight="15" x14ac:dyDescent="0.2"/>
  <cols>
    <col min="2" max="2" width="25.1640625" style="2" customWidth="1"/>
    <col min="4" max="4" width="10.83203125" customWidth="1"/>
  </cols>
  <sheetData>
    <row r="1" spans="1:16" x14ac:dyDescent="0.2">
      <c r="B1" s="15"/>
      <c r="C1" s="13"/>
    </row>
    <row r="2" spans="1:16" x14ac:dyDescent="0.2">
      <c r="B2" s="2" t="s">
        <v>16</v>
      </c>
      <c r="C2">
        <v>22.414000000000001</v>
      </c>
      <c r="D2" t="s">
        <v>12</v>
      </c>
    </row>
    <row r="3" spans="1:16" x14ac:dyDescent="0.2">
      <c r="C3" s="24" t="s">
        <v>13</v>
      </c>
      <c r="D3" s="24"/>
      <c r="E3" s="24" t="s">
        <v>14</v>
      </c>
      <c r="F3" s="24"/>
      <c r="G3" s="24" t="s">
        <v>15</v>
      </c>
      <c r="H3" s="24"/>
    </row>
    <row r="4" spans="1:16" x14ac:dyDescent="0.2">
      <c r="A4" t="s">
        <v>31</v>
      </c>
      <c r="B4" s="17" t="s">
        <v>0</v>
      </c>
      <c r="C4" s="1">
        <v>1.9</v>
      </c>
      <c r="D4" s="1">
        <f>C4*12/$C$8</f>
        <v>0.45967741935483869</v>
      </c>
      <c r="E4" s="1">
        <v>6</v>
      </c>
      <c r="F4" s="1">
        <f>E4*12/$E$8</f>
        <v>0.44444444444444442</v>
      </c>
      <c r="G4" s="1">
        <v>57</v>
      </c>
      <c r="H4" s="1">
        <f>G4*12/$G$8</f>
        <v>0.77375565610859731</v>
      </c>
    </row>
    <row r="5" spans="1:16" x14ac:dyDescent="0.2">
      <c r="A5" t="s">
        <v>30</v>
      </c>
      <c r="B5" s="17" t="s">
        <v>1</v>
      </c>
      <c r="C5" s="1">
        <v>3.8</v>
      </c>
      <c r="D5" s="1">
        <f>C5*1/$C$8</f>
        <v>7.6612903225806453E-2</v>
      </c>
      <c r="E5" s="1">
        <v>10</v>
      </c>
      <c r="F5" s="1">
        <f>E5*1/$E$8</f>
        <v>6.1728395061728392E-2</v>
      </c>
      <c r="G5" s="1">
        <v>104</v>
      </c>
      <c r="H5" s="1">
        <f>G5*1/$G$8</f>
        <v>0.11764705882352941</v>
      </c>
    </row>
    <row r="6" spans="1:16" x14ac:dyDescent="0.2">
      <c r="A6" t="s">
        <v>28</v>
      </c>
      <c r="B6" s="17" t="s">
        <v>2</v>
      </c>
      <c r="C6" s="1">
        <v>1</v>
      </c>
      <c r="D6" s="1">
        <f>C6*16/$C$8</f>
        <v>0.32258064516129037</v>
      </c>
      <c r="E6" s="1">
        <v>5</v>
      </c>
      <c r="F6" s="1">
        <f>E6*16/$E$8</f>
        <v>0.49382716049382713</v>
      </c>
      <c r="G6" s="1">
        <v>6</v>
      </c>
      <c r="H6" s="1">
        <f>G6*16/$G$8</f>
        <v>0.10859728506787331</v>
      </c>
    </row>
    <row r="7" spans="1:16" x14ac:dyDescent="0.2">
      <c r="A7" t="s">
        <v>29</v>
      </c>
      <c r="B7" s="17" t="s">
        <v>3</v>
      </c>
      <c r="C7" s="1">
        <v>0.5</v>
      </c>
      <c r="D7" s="1">
        <f>C7*14/$C$8</f>
        <v>0.14112903225806453</v>
      </c>
      <c r="E7" s="1">
        <v>0</v>
      </c>
      <c r="F7" s="1">
        <f>E7*14/$E$8</f>
        <v>0</v>
      </c>
      <c r="G7" s="1">
        <v>0</v>
      </c>
      <c r="H7" s="1">
        <f>G7*14/$G$8</f>
        <v>0</v>
      </c>
    </row>
    <row r="8" spans="1:16" x14ac:dyDescent="0.2">
      <c r="B8" s="17" t="s">
        <v>49</v>
      </c>
      <c r="C8" s="1">
        <f>12*C4+1*C5+16*C6+14*C7</f>
        <v>49.599999999999994</v>
      </c>
      <c r="D8" s="1"/>
      <c r="E8" s="1">
        <f>12*E4+1*E5+16*E6+14*E7</f>
        <v>162</v>
      </c>
      <c r="F8" s="1"/>
      <c r="G8" s="1">
        <f>12*G4+1*G5+16*G6+14*G7</f>
        <v>884</v>
      </c>
      <c r="H8" s="1"/>
    </row>
    <row r="9" spans="1:16" x14ac:dyDescent="0.2">
      <c r="B9" s="3"/>
    </row>
    <row r="10" spans="1:16" x14ac:dyDescent="0.2">
      <c r="B10" s="15" t="s">
        <v>54</v>
      </c>
      <c r="C10" s="13">
        <f>Calculation_Sheet!I26</f>
        <v>0.54500000000000004</v>
      </c>
      <c r="D10" s="13"/>
      <c r="E10" s="13">
        <f>Calculation_Sheet!J26</f>
        <v>0.13</v>
      </c>
      <c r="F10" s="13"/>
      <c r="G10" s="13">
        <f>Calculation_Sheet!K26</f>
        <v>0.315</v>
      </c>
      <c r="H10" s="13"/>
      <c r="I10" s="13">
        <f>C10+E10+G10</f>
        <v>0.99</v>
      </c>
    </row>
    <row r="11" spans="1:16" x14ac:dyDescent="0.2">
      <c r="B11" s="15" t="s">
        <v>32</v>
      </c>
      <c r="C11" s="18">
        <f>C10/$I$10</f>
        <v>0.5505050505050505</v>
      </c>
      <c r="D11" s="8"/>
      <c r="E11" s="18">
        <f>E10/$I$10</f>
        <v>0.13131313131313133</v>
      </c>
      <c r="F11" s="13"/>
      <c r="G11" s="18">
        <f>G10/$I$10</f>
        <v>0.31818181818181818</v>
      </c>
      <c r="H11" s="13"/>
      <c r="I11" s="13"/>
      <c r="K11" t="s">
        <v>53</v>
      </c>
    </row>
    <row r="12" spans="1:16" x14ac:dyDescent="0.2">
      <c r="B12" s="19" t="s">
        <v>31</v>
      </c>
      <c r="C12" s="8">
        <f>$D$4*$C$10</f>
        <v>0.25052419354838712</v>
      </c>
      <c r="D12" s="8"/>
      <c r="E12" s="13">
        <f>$F$4*$E$10</f>
        <v>5.7777777777777775E-2</v>
      </c>
      <c r="F12" s="13"/>
      <c r="G12" s="13">
        <f>$G$10*$H$4</f>
        <v>0.24373303167420815</v>
      </c>
      <c r="H12" s="13"/>
      <c r="I12" s="13">
        <f>C12+E12+G12</f>
        <v>0.552035003000373</v>
      </c>
      <c r="K12" s="14">
        <f>34.1*I12+102*I13+6.3*I15-9.85*I14</f>
        <v>25.465400489768101</v>
      </c>
    </row>
    <row r="13" spans="1:16" x14ac:dyDescent="0.2">
      <c r="B13" s="19" t="s">
        <v>30</v>
      </c>
      <c r="C13" s="8">
        <f>$D$5*$C$10</f>
        <v>4.1754032258064518E-2</v>
      </c>
      <c r="D13" s="8"/>
      <c r="E13" s="13">
        <f>$F$5*$E$10</f>
        <v>8.024691358024692E-3</v>
      </c>
      <c r="F13" s="13"/>
      <c r="G13" s="13">
        <f>$G$10*$H$5</f>
        <v>3.7058823529411762E-2</v>
      </c>
      <c r="H13" s="13"/>
      <c r="I13" s="13">
        <f t="shared" ref="I13:I15" si="0">C13+E13+G13</f>
        <v>8.6837547145500973E-2</v>
      </c>
    </row>
    <row r="14" spans="1:16" x14ac:dyDescent="0.2">
      <c r="B14" s="19" t="s">
        <v>28</v>
      </c>
      <c r="C14" s="8">
        <f>$D$6*$C$10</f>
        <v>0.17580645161290326</v>
      </c>
      <c r="D14" s="8"/>
      <c r="E14" s="13">
        <f>$F$6*$E$10</f>
        <v>6.4197530864197536E-2</v>
      </c>
      <c r="F14" s="13"/>
      <c r="G14" s="13">
        <f>$G$10*$H$6</f>
        <v>3.420814479638009E-2</v>
      </c>
      <c r="H14" s="13"/>
      <c r="I14" s="13">
        <f t="shared" si="0"/>
        <v>0.27421212727348088</v>
      </c>
    </row>
    <row r="15" spans="1:16" x14ac:dyDescent="0.2">
      <c r="B15" s="19" t="s">
        <v>29</v>
      </c>
      <c r="C15" s="8">
        <f>$D$7*$C$10</f>
        <v>7.6915322580645179E-2</v>
      </c>
      <c r="D15" s="8"/>
      <c r="E15" s="13">
        <f>F7*$E$10</f>
        <v>0</v>
      </c>
      <c r="F15" s="13"/>
      <c r="G15" s="13">
        <f>$G$10*H7</f>
        <v>0</v>
      </c>
      <c r="H15" s="13"/>
      <c r="I15" s="13">
        <f t="shared" si="0"/>
        <v>7.6915322580645179E-2</v>
      </c>
      <c r="L15" s="7"/>
      <c r="M15" s="24"/>
      <c r="N15" s="24"/>
      <c r="O15" s="24"/>
      <c r="P15" s="24"/>
    </row>
    <row r="22" spans="2:4" x14ac:dyDescent="0.2">
      <c r="C22" s="1"/>
      <c r="D22" s="1"/>
    </row>
    <row r="23" spans="2:4" x14ac:dyDescent="0.2">
      <c r="B23"/>
    </row>
    <row r="24" spans="2:4" x14ac:dyDescent="0.2">
      <c r="B24"/>
    </row>
    <row r="25" spans="2:4" x14ac:dyDescent="0.2">
      <c r="B25"/>
    </row>
    <row r="26" spans="2:4" x14ac:dyDescent="0.2">
      <c r="B26"/>
    </row>
    <row r="27" spans="2:4" x14ac:dyDescent="0.2">
      <c r="B27"/>
    </row>
    <row r="28" spans="2:4" x14ac:dyDescent="0.2">
      <c r="B28"/>
    </row>
    <row r="29" spans="2:4" x14ac:dyDescent="0.2">
      <c r="B29"/>
    </row>
    <row r="30" spans="2:4" x14ac:dyDescent="0.2">
      <c r="B30"/>
    </row>
    <row r="31" spans="2:4" x14ac:dyDescent="0.2">
      <c r="B31"/>
    </row>
    <row r="32" spans="2:4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 s="4"/>
    </row>
    <row r="47" spans="2:2" x14ac:dyDescent="0.2">
      <c r="B47" s="4"/>
    </row>
    <row r="48" spans="2:2" x14ac:dyDescent="0.2">
      <c r="B48" s="4"/>
    </row>
    <row r="49" spans="2:2" x14ac:dyDescent="0.2">
      <c r="B49" s="4"/>
    </row>
    <row r="50" spans="2:2" x14ac:dyDescent="0.2">
      <c r="B50" s="4"/>
    </row>
    <row r="51" spans="2:2" x14ac:dyDescent="0.2">
      <c r="B51" s="4"/>
    </row>
    <row r="52" spans="2:2" x14ac:dyDescent="0.2">
      <c r="B52" s="4"/>
    </row>
    <row r="53" spans="2:2" x14ac:dyDescent="0.2">
      <c r="B53" s="4"/>
    </row>
    <row r="54" spans="2:2" x14ac:dyDescent="0.2">
      <c r="B54" s="4"/>
    </row>
    <row r="55" spans="2:2" x14ac:dyDescent="0.2">
      <c r="B55" s="4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</sheetData>
  <mergeCells count="5">
    <mergeCell ref="C3:D3"/>
    <mergeCell ref="E3:F3"/>
    <mergeCell ref="G3:H3"/>
    <mergeCell ref="M15:N15"/>
    <mergeCell ref="O15:P15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6143A-629F-45CF-99C2-54FC99736420}">
  <dimension ref="A1:P63"/>
  <sheetViews>
    <sheetView zoomScale="90" zoomScaleNormal="90" workbookViewId="0">
      <selection activeCell="N24" sqref="N24"/>
    </sheetView>
  </sheetViews>
  <sheetFormatPr baseColWidth="10" defaultColWidth="8.83203125" defaultRowHeight="15" x14ac:dyDescent="0.2"/>
  <cols>
    <col min="2" max="2" width="25.1640625" style="2" customWidth="1"/>
    <col min="4" max="4" width="10.83203125" customWidth="1"/>
  </cols>
  <sheetData>
    <row r="1" spans="1:16" x14ac:dyDescent="0.2">
      <c r="B1" s="15"/>
      <c r="C1" s="13"/>
    </row>
    <row r="2" spans="1:16" x14ac:dyDescent="0.2">
      <c r="B2" s="2" t="s">
        <v>16</v>
      </c>
      <c r="C2">
        <v>22.414000000000001</v>
      </c>
      <c r="D2" t="s">
        <v>12</v>
      </c>
    </row>
    <row r="3" spans="1:16" x14ac:dyDescent="0.2">
      <c r="C3" s="24" t="s">
        <v>13</v>
      </c>
      <c r="D3" s="24"/>
      <c r="E3" s="24" t="s">
        <v>14</v>
      </c>
      <c r="F3" s="24"/>
      <c r="G3" s="24" t="s">
        <v>15</v>
      </c>
      <c r="H3" s="24"/>
    </row>
    <row r="4" spans="1:16" x14ac:dyDescent="0.2">
      <c r="A4" t="s">
        <v>31</v>
      </c>
      <c r="B4" s="17" t="s">
        <v>0</v>
      </c>
      <c r="C4" s="1">
        <v>1.9</v>
      </c>
      <c r="D4" s="1">
        <f>C4*12/$C$8</f>
        <v>0.45967741935483869</v>
      </c>
      <c r="E4" s="1">
        <v>6</v>
      </c>
      <c r="F4" s="1">
        <f>E4*12/$E$8</f>
        <v>0.44444444444444442</v>
      </c>
      <c r="G4" s="1">
        <v>57</v>
      </c>
      <c r="H4" s="1">
        <f>G4*12/$G$8</f>
        <v>0.77375565610859731</v>
      </c>
    </row>
    <row r="5" spans="1:16" x14ac:dyDescent="0.2">
      <c r="A5" t="s">
        <v>30</v>
      </c>
      <c r="B5" s="17" t="s">
        <v>1</v>
      </c>
      <c r="C5" s="1">
        <v>3.8</v>
      </c>
      <c r="D5" s="1">
        <f>C5*1/$C$8</f>
        <v>7.6612903225806453E-2</v>
      </c>
      <c r="E5" s="1">
        <v>10</v>
      </c>
      <c r="F5" s="1">
        <f>E5*1/$E$8</f>
        <v>6.1728395061728392E-2</v>
      </c>
      <c r="G5" s="1">
        <v>104</v>
      </c>
      <c r="H5" s="1">
        <f>G5*1/$G$8</f>
        <v>0.11764705882352941</v>
      </c>
    </row>
    <row r="6" spans="1:16" x14ac:dyDescent="0.2">
      <c r="A6" t="s">
        <v>28</v>
      </c>
      <c r="B6" s="17" t="s">
        <v>2</v>
      </c>
      <c r="C6" s="1">
        <v>1</v>
      </c>
      <c r="D6" s="1">
        <f>C6*16/$C$8</f>
        <v>0.32258064516129037</v>
      </c>
      <c r="E6" s="1">
        <v>5</v>
      </c>
      <c r="F6" s="1">
        <f>E6*16/$E$8</f>
        <v>0.49382716049382713</v>
      </c>
      <c r="G6" s="1">
        <v>6</v>
      </c>
      <c r="H6" s="1">
        <f>G6*16/$G$8</f>
        <v>0.10859728506787331</v>
      </c>
    </row>
    <row r="7" spans="1:16" x14ac:dyDescent="0.2">
      <c r="A7" t="s">
        <v>29</v>
      </c>
      <c r="B7" s="17" t="s">
        <v>3</v>
      </c>
      <c r="C7" s="1">
        <v>0.5</v>
      </c>
      <c r="D7" s="1">
        <f>C7*14/$C$8</f>
        <v>0.14112903225806453</v>
      </c>
      <c r="E7" s="1">
        <v>0</v>
      </c>
      <c r="F7" s="1">
        <f>E7*14/$E$8</f>
        <v>0</v>
      </c>
      <c r="G7" s="1">
        <v>0</v>
      </c>
      <c r="H7" s="1">
        <f>G7*14/$G$8</f>
        <v>0</v>
      </c>
    </row>
    <row r="8" spans="1:16" x14ac:dyDescent="0.2">
      <c r="B8" s="17" t="s">
        <v>49</v>
      </c>
      <c r="C8" s="1">
        <f>12*C4+1*C5+16*C6+14*C7</f>
        <v>49.599999999999994</v>
      </c>
      <c r="D8" s="1"/>
      <c r="E8" s="1">
        <f>12*E4+1*E5+16*E6+14*E7</f>
        <v>162</v>
      </c>
      <c r="F8" s="1"/>
      <c r="G8" s="1">
        <f>12*G4+1*G5+16*G6+14*G7</f>
        <v>884</v>
      </c>
      <c r="H8" s="1"/>
    </row>
    <row r="9" spans="1:16" x14ac:dyDescent="0.2">
      <c r="B9" s="3"/>
    </row>
    <row r="10" spans="1:16" x14ac:dyDescent="0.2">
      <c r="B10" s="15" t="s">
        <v>54</v>
      </c>
      <c r="C10" s="13">
        <f>Calculation_Sheet!I27</f>
        <v>0.48</v>
      </c>
      <c r="D10" s="13"/>
      <c r="E10" s="13">
        <f>Calculation_Sheet!J27</f>
        <v>0.27</v>
      </c>
      <c r="F10" s="13"/>
      <c r="G10" s="13">
        <f>Calculation_Sheet!K27</f>
        <v>0.2</v>
      </c>
      <c r="H10" s="13"/>
      <c r="I10" s="13">
        <f>C10+E10+G10</f>
        <v>0.95</v>
      </c>
    </row>
    <row r="11" spans="1:16" x14ac:dyDescent="0.2">
      <c r="B11" s="15" t="s">
        <v>32</v>
      </c>
      <c r="C11" s="18">
        <f>C10/$I$10</f>
        <v>0.50526315789473686</v>
      </c>
      <c r="D11" s="8"/>
      <c r="E11" s="18">
        <f>E10/$I$10</f>
        <v>0.28421052631578952</v>
      </c>
      <c r="F11" s="13"/>
      <c r="G11" s="18">
        <f>G10/$I$10</f>
        <v>0.2105263157894737</v>
      </c>
      <c r="H11" s="13"/>
      <c r="I11" s="13"/>
      <c r="K11" t="s">
        <v>53</v>
      </c>
    </row>
    <row r="12" spans="1:16" x14ac:dyDescent="0.2">
      <c r="B12" s="19" t="s">
        <v>31</v>
      </c>
      <c r="C12" s="8">
        <f>$D$4*$C$10</f>
        <v>0.22064516129032255</v>
      </c>
      <c r="D12" s="8"/>
      <c r="E12" s="13">
        <f>$F$4*$E$10</f>
        <v>0.12</v>
      </c>
      <c r="F12" s="13"/>
      <c r="G12" s="13">
        <f>$G$10*$H$4</f>
        <v>0.15475113122171946</v>
      </c>
      <c r="H12" s="13"/>
      <c r="I12" s="13">
        <f>C12+E12+G12</f>
        <v>0.49539629251204198</v>
      </c>
      <c r="K12" s="14">
        <f>34.1*I12+102*I13+6.3*I15-9.85*I14</f>
        <v>22.118324234904879</v>
      </c>
    </row>
    <row r="13" spans="1:16" x14ac:dyDescent="0.2">
      <c r="B13" s="19" t="s">
        <v>30</v>
      </c>
      <c r="C13" s="8">
        <f>$D$5*$C$10</f>
        <v>3.6774193548387096E-2</v>
      </c>
      <c r="D13" s="8"/>
      <c r="E13" s="13">
        <f>$F$5*$E$10</f>
        <v>1.6666666666666666E-2</v>
      </c>
      <c r="F13" s="13"/>
      <c r="G13" s="13">
        <f>$G$10*$H$5</f>
        <v>2.3529411764705882E-2</v>
      </c>
      <c r="H13" s="13"/>
      <c r="I13" s="13">
        <f t="shared" ref="I13:I15" si="0">C13+E13+G13</f>
        <v>7.6970271979759641E-2</v>
      </c>
    </row>
    <row r="14" spans="1:16" x14ac:dyDescent="0.2">
      <c r="B14" s="19" t="s">
        <v>28</v>
      </c>
      <c r="C14" s="8">
        <f>$D$6*$C$10</f>
        <v>0.15483870967741936</v>
      </c>
      <c r="D14" s="8"/>
      <c r="E14" s="13">
        <f>$F$6*$E$10</f>
        <v>0.13333333333333333</v>
      </c>
      <c r="F14" s="13"/>
      <c r="G14" s="13">
        <f>$G$10*$H$6</f>
        <v>2.1719457013574663E-2</v>
      </c>
      <c r="H14" s="13"/>
      <c r="I14" s="13">
        <f t="shared" si="0"/>
        <v>0.30989150002432736</v>
      </c>
    </row>
    <row r="15" spans="1:16" x14ac:dyDescent="0.2">
      <c r="B15" s="19" t="s">
        <v>29</v>
      </c>
      <c r="C15" s="8">
        <f>$D$7*$C$10</f>
        <v>6.7741935483870974E-2</v>
      </c>
      <c r="D15" s="8"/>
      <c r="E15" s="13">
        <f>F7*$E$10</f>
        <v>0</v>
      </c>
      <c r="F15" s="13"/>
      <c r="G15" s="13">
        <f>$G$10*H7</f>
        <v>0</v>
      </c>
      <c r="H15" s="13"/>
      <c r="I15" s="13">
        <f t="shared" si="0"/>
        <v>6.7741935483870974E-2</v>
      </c>
      <c r="L15" s="7"/>
      <c r="M15" s="24"/>
      <c r="N15" s="24"/>
      <c r="O15" s="24"/>
      <c r="P15" s="24"/>
    </row>
    <row r="22" spans="2:4" x14ac:dyDescent="0.2">
      <c r="C22" s="1"/>
      <c r="D22" s="1"/>
    </row>
    <row r="23" spans="2:4" x14ac:dyDescent="0.2">
      <c r="B23"/>
    </row>
    <row r="24" spans="2:4" x14ac:dyDescent="0.2">
      <c r="B24"/>
    </row>
    <row r="25" spans="2:4" x14ac:dyDescent="0.2">
      <c r="B25"/>
    </row>
    <row r="26" spans="2:4" x14ac:dyDescent="0.2">
      <c r="B26"/>
    </row>
    <row r="27" spans="2:4" x14ac:dyDescent="0.2">
      <c r="B27"/>
    </row>
    <row r="28" spans="2:4" x14ac:dyDescent="0.2">
      <c r="B28"/>
    </row>
    <row r="29" spans="2:4" x14ac:dyDescent="0.2">
      <c r="B29"/>
    </row>
    <row r="30" spans="2:4" x14ac:dyDescent="0.2">
      <c r="B30"/>
    </row>
    <row r="31" spans="2:4" x14ac:dyDescent="0.2">
      <c r="B31"/>
    </row>
    <row r="32" spans="2:4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 s="4"/>
    </row>
    <row r="47" spans="2:2" x14ac:dyDescent="0.2">
      <c r="B47" s="4"/>
    </row>
    <row r="48" spans="2:2" x14ac:dyDescent="0.2">
      <c r="B48" s="4"/>
    </row>
    <row r="49" spans="2:2" x14ac:dyDescent="0.2">
      <c r="B49" s="4"/>
    </row>
    <row r="50" spans="2:2" x14ac:dyDescent="0.2">
      <c r="B50" s="4"/>
    </row>
    <row r="51" spans="2:2" x14ac:dyDescent="0.2">
      <c r="B51" s="4"/>
    </row>
    <row r="52" spans="2:2" x14ac:dyDescent="0.2">
      <c r="B52" s="4"/>
    </row>
    <row r="53" spans="2:2" x14ac:dyDescent="0.2">
      <c r="B53" s="4"/>
    </row>
    <row r="54" spans="2:2" x14ac:dyDescent="0.2">
      <c r="B54" s="4"/>
    </row>
    <row r="55" spans="2:2" x14ac:dyDescent="0.2">
      <c r="B55" s="4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</sheetData>
  <mergeCells count="5">
    <mergeCell ref="C3:D3"/>
    <mergeCell ref="E3:F3"/>
    <mergeCell ref="G3:H3"/>
    <mergeCell ref="M15:N15"/>
    <mergeCell ref="O15:P15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99DF9-8B4A-4E19-868F-C84C44E91E3D}">
  <dimension ref="A1:P63"/>
  <sheetViews>
    <sheetView zoomScale="90" zoomScaleNormal="90" workbookViewId="0">
      <selection activeCell="N22" sqref="N22"/>
    </sheetView>
  </sheetViews>
  <sheetFormatPr baseColWidth="10" defaultColWidth="8.83203125" defaultRowHeight="15" x14ac:dyDescent="0.2"/>
  <cols>
    <col min="2" max="2" width="25.1640625" style="2" customWidth="1"/>
    <col min="4" max="4" width="10.83203125" customWidth="1"/>
  </cols>
  <sheetData>
    <row r="1" spans="1:16" x14ac:dyDescent="0.2">
      <c r="B1" s="15"/>
      <c r="C1" s="13"/>
    </row>
    <row r="2" spans="1:16" x14ac:dyDescent="0.2">
      <c r="B2" s="2" t="s">
        <v>16</v>
      </c>
      <c r="C2">
        <v>22.414000000000001</v>
      </c>
      <c r="D2" t="s">
        <v>12</v>
      </c>
    </row>
    <row r="3" spans="1:16" x14ac:dyDescent="0.2">
      <c r="C3" s="24" t="s">
        <v>13</v>
      </c>
      <c r="D3" s="24"/>
      <c r="E3" s="24" t="s">
        <v>14</v>
      </c>
      <c r="F3" s="24"/>
      <c r="G3" s="24" t="s">
        <v>15</v>
      </c>
      <c r="H3" s="24"/>
    </row>
    <row r="4" spans="1:16" x14ac:dyDescent="0.2">
      <c r="A4" t="s">
        <v>31</v>
      </c>
      <c r="B4" s="17" t="s">
        <v>0</v>
      </c>
      <c r="C4" s="1">
        <v>1.9</v>
      </c>
      <c r="D4" s="1">
        <f>C4*12/$C$8</f>
        <v>0.45967741935483869</v>
      </c>
      <c r="E4" s="1">
        <v>6</v>
      </c>
      <c r="F4" s="1">
        <f>E4*12/$E$8</f>
        <v>0.44444444444444442</v>
      </c>
      <c r="G4" s="1">
        <v>57</v>
      </c>
      <c r="H4" s="1">
        <f>G4*12/$G$8</f>
        <v>0.77375565610859731</v>
      </c>
    </row>
    <row r="5" spans="1:16" x14ac:dyDescent="0.2">
      <c r="A5" t="s">
        <v>30</v>
      </c>
      <c r="B5" s="17" t="s">
        <v>1</v>
      </c>
      <c r="C5" s="1">
        <v>3.8</v>
      </c>
      <c r="D5" s="1">
        <f>C5*1/$C$8</f>
        <v>7.6612903225806453E-2</v>
      </c>
      <c r="E5" s="1">
        <v>10</v>
      </c>
      <c r="F5" s="1">
        <f>E5*1/$E$8</f>
        <v>6.1728395061728392E-2</v>
      </c>
      <c r="G5" s="1">
        <v>104</v>
      </c>
      <c r="H5" s="1">
        <f>G5*1/$G$8</f>
        <v>0.11764705882352941</v>
      </c>
    </row>
    <row r="6" spans="1:16" x14ac:dyDescent="0.2">
      <c r="A6" t="s">
        <v>28</v>
      </c>
      <c r="B6" s="17" t="s">
        <v>2</v>
      </c>
      <c r="C6" s="1">
        <v>1</v>
      </c>
      <c r="D6" s="1">
        <f>C6*16/$C$8</f>
        <v>0.32258064516129037</v>
      </c>
      <c r="E6" s="1">
        <v>5</v>
      </c>
      <c r="F6" s="1">
        <f>E6*16/$E$8</f>
        <v>0.49382716049382713</v>
      </c>
      <c r="G6" s="1">
        <v>6</v>
      </c>
      <c r="H6" s="1">
        <f>G6*16/$G$8</f>
        <v>0.10859728506787331</v>
      </c>
    </row>
    <row r="7" spans="1:16" x14ac:dyDescent="0.2">
      <c r="A7" t="s">
        <v>29</v>
      </c>
      <c r="B7" s="17" t="s">
        <v>3</v>
      </c>
      <c r="C7" s="1">
        <v>0.5</v>
      </c>
      <c r="D7" s="1">
        <f>C7*14/$C$8</f>
        <v>0.14112903225806453</v>
      </c>
      <c r="E7" s="1">
        <v>0</v>
      </c>
      <c r="F7" s="1">
        <f>E7*14/$E$8</f>
        <v>0</v>
      </c>
      <c r="G7" s="1">
        <v>0</v>
      </c>
      <c r="H7" s="1">
        <f>G7*14/$G$8</f>
        <v>0</v>
      </c>
    </row>
    <row r="8" spans="1:16" x14ac:dyDescent="0.2">
      <c r="B8" s="17" t="s">
        <v>49</v>
      </c>
      <c r="C8" s="1">
        <f>12*C4+1*C5+16*C6+14*C7</f>
        <v>49.599999999999994</v>
      </c>
      <c r="D8" s="1"/>
      <c r="E8" s="1">
        <f>12*E4+1*E5+16*E6+14*E7</f>
        <v>162</v>
      </c>
      <c r="F8" s="1"/>
      <c r="G8" s="1">
        <f>12*G4+1*G5+16*G6+14*G7</f>
        <v>884</v>
      </c>
      <c r="H8" s="1"/>
    </row>
    <row r="9" spans="1:16" x14ac:dyDescent="0.2">
      <c r="B9" s="3"/>
      <c r="I9" t="s">
        <v>43</v>
      </c>
    </row>
    <row r="10" spans="1:16" x14ac:dyDescent="0.2">
      <c r="B10" s="15" t="s">
        <v>54</v>
      </c>
      <c r="C10" s="13">
        <f>Calculation_Sheet!I28</f>
        <v>0.27</v>
      </c>
      <c r="D10" s="13"/>
      <c r="E10" s="13">
        <f>Calculation_Sheet!J28</f>
        <v>0.17</v>
      </c>
      <c r="F10" s="13"/>
      <c r="G10" s="13">
        <f>Calculation_Sheet!K28</f>
        <v>0.23499999999999999</v>
      </c>
      <c r="H10" s="13"/>
      <c r="I10" s="13">
        <f>C10+E10+G10</f>
        <v>0.67500000000000004</v>
      </c>
    </row>
    <row r="11" spans="1:16" x14ac:dyDescent="0.2">
      <c r="B11" s="15" t="s">
        <v>32</v>
      </c>
      <c r="C11" s="18">
        <f>C10/$I$10</f>
        <v>0.4</v>
      </c>
      <c r="D11" s="8"/>
      <c r="E11" s="18">
        <f>E10/$I$10</f>
        <v>0.25185185185185183</v>
      </c>
      <c r="F11" s="13"/>
      <c r="G11" s="18">
        <f>G10/$I$10</f>
        <v>0.3481481481481481</v>
      </c>
      <c r="H11" s="13"/>
      <c r="I11" s="13"/>
      <c r="K11" t="s">
        <v>53</v>
      </c>
    </row>
    <row r="12" spans="1:16" x14ac:dyDescent="0.2">
      <c r="B12" s="19" t="s">
        <v>31</v>
      </c>
      <c r="C12" s="8">
        <f>$D$4*$C$10</f>
        <v>0.12411290322580645</v>
      </c>
      <c r="D12" s="8"/>
      <c r="E12" s="13">
        <f>$F$4*$E$10</f>
        <v>7.5555555555555556E-2</v>
      </c>
      <c r="F12" s="13"/>
      <c r="G12" s="13">
        <f>$G$10*$H$4</f>
        <v>0.18183257918552037</v>
      </c>
      <c r="H12" s="13"/>
      <c r="I12" s="13">
        <f>C12+E12+G12</f>
        <v>0.38150103796688239</v>
      </c>
      <c r="K12" s="14">
        <f>34.1*I12+102*I13+6.3*I15-9.85*I14</f>
        <v>17.31334323208651</v>
      </c>
    </row>
    <row r="13" spans="1:16" x14ac:dyDescent="0.2">
      <c r="B13" s="19" t="s">
        <v>30</v>
      </c>
      <c r="C13" s="8">
        <f>$D$5*$C$10</f>
        <v>2.0685483870967743E-2</v>
      </c>
      <c r="D13" s="8"/>
      <c r="E13" s="13">
        <f>$F$5*$E$10</f>
        <v>1.0493827160493827E-2</v>
      </c>
      <c r="F13" s="13"/>
      <c r="G13" s="13">
        <f>$G$10*$H$5</f>
        <v>2.764705882352941E-2</v>
      </c>
      <c r="H13" s="13"/>
      <c r="I13" s="13">
        <f t="shared" ref="I13:I15" si="0">C13+E13+G13</f>
        <v>5.8826369854990984E-2</v>
      </c>
    </row>
    <row r="14" spans="1:16" x14ac:dyDescent="0.2">
      <c r="B14" s="19" t="s">
        <v>28</v>
      </c>
      <c r="C14" s="8">
        <f>$D$6*$C$10</f>
        <v>8.7096774193548401E-2</v>
      </c>
      <c r="D14" s="8"/>
      <c r="E14" s="13">
        <f>$F$6*$E$10</f>
        <v>8.3950617283950618E-2</v>
      </c>
      <c r="F14" s="13"/>
      <c r="G14" s="13">
        <f>$G$10*$H$6</f>
        <v>2.5520361990950226E-2</v>
      </c>
      <c r="H14" s="13"/>
      <c r="I14" s="13">
        <f t="shared" si="0"/>
        <v>0.19656775346844926</v>
      </c>
    </row>
    <row r="15" spans="1:16" x14ac:dyDescent="0.2">
      <c r="B15" s="19" t="s">
        <v>29</v>
      </c>
      <c r="C15" s="8">
        <f>$D$7*$C$10</f>
        <v>3.8104838709677423E-2</v>
      </c>
      <c r="D15" s="8"/>
      <c r="E15" s="13">
        <f>F7*$E$10</f>
        <v>0</v>
      </c>
      <c r="F15" s="13"/>
      <c r="G15" s="13">
        <f>$G$10*H7</f>
        <v>0</v>
      </c>
      <c r="H15" s="13"/>
      <c r="I15" s="13">
        <f t="shared" si="0"/>
        <v>3.8104838709677423E-2</v>
      </c>
      <c r="L15" s="7"/>
      <c r="M15" s="24"/>
      <c r="N15" s="24"/>
      <c r="O15" s="24"/>
      <c r="P15" s="24"/>
    </row>
    <row r="22" spans="2:4" x14ac:dyDescent="0.2">
      <c r="C22" s="1"/>
      <c r="D22" s="1"/>
    </row>
    <row r="23" spans="2:4" x14ac:dyDescent="0.2">
      <c r="B23"/>
    </row>
    <row r="24" spans="2:4" x14ac:dyDescent="0.2">
      <c r="B24"/>
    </row>
    <row r="25" spans="2:4" x14ac:dyDescent="0.2">
      <c r="B25"/>
    </row>
    <row r="26" spans="2:4" x14ac:dyDescent="0.2">
      <c r="B26"/>
    </row>
    <row r="27" spans="2:4" x14ac:dyDescent="0.2">
      <c r="B27"/>
    </row>
    <row r="28" spans="2:4" x14ac:dyDescent="0.2">
      <c r="B28"/>
    </row>
    <row r="29" spans="2:4" x14ac:dyDescent="0.2">
      <c r="B29"/>
    </row>
    <row r="30" spans="2:4" x14ac:dyDescent="0.2">
      <c r="B30"/>
    </row>
    <row r="31" spans="2:4" x14ac:dyDescent="0.2">
      <c r="B31"/>
    </row>
    <row r="32" spans="2:4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 s="4"/>
    </row>
    <row r="47" spans="2:2" x14ac:dyDescent="0.2">
      <c r="B47" s="4"/>
    </row>
    <row r="48" spans="2:2" x14ac:dyDescent="0.2">
      <c r="B48" s="4"/>
    </row>
    <row r="49" spans="2:2" x14ac:dyDescent="0.2">
      <c r="B49" s="4"/>
    </row>
    <row r="50" spans="2:2" x14ac:dyDescent="0.2">
      <c r="B50" s="4"/>
    </row>
    <row r="51" spans="2:2" x14ac:dyDescent="0.2">
      <c r="B51" s="4"/>
    </row>
    <row r="52" spans="2:2" x14ac:dyDescent="0.2">
      <c r="B52" s="4"/>
    </row>
    <row r="53" spans="2:2" x14ac:dyDescent="0.2">
      <c r="B53" s="4"/>
    </row>
    <row r="54" spans="2:2" x14ac:dyDescent="0.2">
      <c r="B54" s="4"/>
    </row>
    <row r="55" spans="2:2" x14ac:dyDescent="0.2">
      <c r="B55" s="4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</sheetData>
  <mergeCells count="5">
    <mergeCell ref="C3:D3"/>
    <mergeCell ref="E3:F3"/>
    <mergeCell ref="G3:H3"/>
    <mergeCell ref="M15:N15"/>
    <mergeCell ref="O15:P15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7BB87-3C85-4FDE-A767-33A5F071E8FE}">
  <dimension ref="A1:P63"/>
  <sheetViews>
    <sheetView zoomScale="90" zoomScaleNormal="90" workbookViewId="0">
      <selection activeCell="M25" sqref="M25"/>
    </sheetView>
  </sheetViews>
  <sheetFormatPr baseColWidth="10" defaultColWidth="8.83203125" defaultRowHeight="15" x14ac:dyDescent="0.2"/>
  <cols>
    <col min="2" max="2" width="25.1640625" style="2" customWidth="1"/>
    <col min="4" max="4" width="10.83203125" customWidth="1"/>
  </cols>
  <sheetData>
    <row r="1" spans="1:16" x14ac:dyDescent="0.2">
      <c r="B1" s="15"/>
      <c r="C1" s="13"/>
    </row>
    <row r="2" spans="1:16" x14ac:dyDescent="0.2">
      <c r="B2" s="2" t="s">
        <v>16</v>
      </c>
      <c r="C2">
        <v>22.414000000000001</v>
      </c>
      <c r="D2" t="s">
        <v>12</v>
      </c>
    </row>
    <row r="3" spans="1:16" x14ac:dyDescent="0.2">
      <c r="C3" s="24" t="s">
        <v>13</v>
      </c>
      <c r="D3" s="24"/>
      <c r="E3" s="24" t="s">
        <v>14</v>
      </c>
      <c r="F3" s="24"/>
      <c r="G3" s="24" t="s">
        <v>15</v>
      </c>
      <c r="H3" s="24"/>
    </row>
    <row r="4" spans="1:16" x14ac:dyDescent="0.2">
      <c r="A4" t="s">
        <v>31</v>
      </c>
      <c r="B4" s="17" t="s">
        <v>0</v>
      </c>
      <c r="C4" s="1">
        <v>1.9</v>
      </c>
      <c r="D4" s="1">
        <f>C4*12/$C$8</f>
        <v>0.45967741935483869</v>
      </c>
      <c r="E4" s="1">
        <v>6</v>
      </c>
      <c r="F4" s="1">
        <f>E4*12/$E$8</f>
        <v>0.44444444444444442</v>
      </c>
      <c r="G4" s="1">
        <v>57</v>
      </c>
      <c r="H4" s="1">
        <f>G4*12/$G$8</f>
        <v>0.77375565610859731</v>
      </c>
    </row>
    <row r="5" spans="1:16" x14ac:dyDescent="0.2">
      <c r="A5" t="s">
        <v>30</v>
      </c>
      <c r="B5" s="17" t="s">
        <v>1</v>
      </c>
      <c r="C5" s="1">
        <v>3.8</v>
      </c>
      <c r="D5" s="1">
        <f>C5*1/$C$8</f>
        <v>7.6612903225806453E-2</v>
      </c>
      <c r="E5" s="1">
        <v>10</v>
      </c>
      <c r="F5" s="1">
        <f>E5*1/$E$8</f>
        <v>6.1728395061728392E-2</v>
      </c>
      <c r="G5" s="1">
        <v>104</v>
      </c>
      <c r="H5" s="1">
        <f>G5*1/$G$8</f>
        <v>0.11764705882352941</v>
      </c>
    </row>
    <row r="6" spans="1:16" x14ac:dyDescent="0.2">
      <c r="A6" t="s">
        <v>28</v>
      </c>
      <c r="B6" s="17" t="s">
        <v>2</v>
      </c>
      <c r="C6" s="1">
        <v>1</v>
      </c>
      <c r="D6" s="1">
        <f>C6*16/$C$8</f>
        <v>0.32258064516129037</v>
      </c>
      <c r="E6" s="1">
        <v>5</v>
      </c>
      <c r="F6" s="1">
        <f>E6*16/$E$8</f>
        <v>0.49382716049382713</v>
      </c>
      <c r="G6" s="1">
        <v>6</v>
      </c>
      <c r="H6" s="1">
        <f>G6*16/$G$8</f>
        <v>0.10859728506787331</v>
      </c>
    </row>
    <row r="7" spans="1:16" x14ac:dyDescent="0.2">
      <c r="A7" t="s">
        <v>29</v>
      </c>
      <c r="B7" s="17" t="s">
        <v>3</v>
      </c>
      <c r="C7" s="1">
        <v>0.5</v>
      </c>
      <c r="D7" s="1">
        <f>C7*14/$C$8</f>
        <v>0.14112903225806453</v>
      </c>
      <c r="E7" s="1">
        <v>0</v>
      </c>
      <c r="F7" s="1">
        <f>E7*14/$E$8</f>
        <v>0</v>
      </c>
      <c r="G7" s="1">
        <v>0</v>
      </c>
      <c r="H7" s="1">
        <f>G7*14/$G$8</f>
        <v>0</v>
      </c>
    </row>
    <row r="8" spans="1:16" x14ac:dyDescent="0.2">
      <c r="B8" s="17" t="s">
        <v>49</v>
      </c>
      <c r="C8" s="1">
        <f>12*C4+1*C5+16*C6+14*C7</f>
        <v>49.599999999999994</v>
      </c>
      <c r="D8" s="1"/>
      <c r="E8" s="1">
        <f>12*E4+1*E5+16*E6+14*E7</f>
        <v>162</v>
      </c>
      <c r="F8" s="1"/>
      <c r="G8" s="1">
        <f>12*G4+1*G5+16*G6+14*G7</f>
        <v>884</v>
      </c>
      <c r="H8" s="1"/>
    </row>
    <row r="9" spans="1:16" x14ac:dyDescent="0.2">
      <c r="B9" s="3"/>
    </row>
    <row r="10" spans="1:16" x14ac:dyDescent="0.2">
      <c r="B10" s="15" t="s">
        <v>54</v>
      </c>
      <c r="C10" s="13">
        <f>Calculation_Sheet!I29</f>
        <v>0.33899999999999997</v>
      </c>
      <c r="D10" s="13"/>
      <c r="E10" s="13">
        <f>Calculation_Sheet!J29</f>
        <v>0.13500000000000001</v>
      </c>
      <c r="F10" s="13"/>
      <c r="G10" s="13">
        <f>Calculation_Sheet!K29</f>
        <v>0.33</v>
      </c>
      <c r="H10" s="13"/>
      <c r="I10" s="13">
        <f>C10+E10+G10</f>
        <v>0.80400000000000005</v>
      </c>
    </row>
    <row r="11" spans="1:16" x14ac:dyDescent="0.2">
      <c r="B11" s="15" t="s">
        <v>32</v>
      </c>
      <c r="C11" s="18">
        <f>C10/$I$10</f>
        <v>0.42164179104477606</v>
      </c>
      <c r="D11" s="8"/>
      <c r="E11" s="18">
        <f>E10/$I$10</f>
        <v>0.16791044776119404</v>
      </c>
      <c r="F11" s="13"/>
      <c r="G11" s="18">
        <f>G10/$I$10</f>
        <v>0.41044776119402987</v>
      </c>
      <c r="H11" s="13"/>
      <c r="I11" s="13"/>
      <c r="K11" t="s">
        <v>53</v>
      </c>
    </row>
    <row r="12" spans="1:16" x14ac:dyDescent="0.2">
      <c r="B12" s="19" t="s">
        <v>31</v>
      </c>
      <c r="C12" s="8">
        <f>$D$4*$C$10</f>
        <v>0.1558306451612903</v>
      </c>
      <c r="D12" s="8"/>
      <c r="E12" s="13">
        <f>$F$4*$E$10</f>
        <v>0.06</v>
      </c>
      <c r="F12" s="13"/>
      <c r="G12" s="13">
        <f>$G$10*$H$4</f>
        <v>0.25533936651583711</v>
      </c>
      <c r="H12" s="13"/>
      <c r="I12" s="13">
        <f>C12+E12+G12</f>
        <v>0.47117001167712741</v>
      </c>
      <c r="K12" s="14">
        <f>34.1*I12+102*I13+6.3*I15-9.85*I14</f>
        <v>21.740620337055418</v>
      </c>
    </row>
    <row r="13" spans="1:16" x14ac:dyDescent="0.2">
      <c r="B13" s="19" t="s">
        <v>30</v>
      </c>
      <c r="C13" s="8">
        <f>$D$5*$C$10</f>
        <v>2.5971774193548385E-2</v>
      </c>
      <c r="D13" s="8"/>
      <c r="E13" s="13">
        <f>$F$5*$E$10</f>
        <v>8.3333333333333332E-3</v>
      </c>
      <c r="F13" s="13"/>
      <c r="G13" s="13">
        <f>$G$10*$H$5</f>
        <v>3.8823529411764708E-2</v>
      </c>
      <c r="H13" s="13"/>
      <c r="I13" s="13">
        <f t="shared" ref="I13:I15" si="0">C13+E13+G13</f>
        <v>7.3128636938646435E-2</v>
      </c>
    </row>
    <row r="14" spans="1:16" x14ac:dyDescent="0.2">
      <c r="B14" s="19" t="s">
        <v>28</v>
      </c>
      <c r="C14" s="8">
        <f>$D$6*$C$10</f>
        <v>0.10935483870967742</v>
      </c>
      <c r="D14" s="8"/>
      <c r="E14" s="13">
        <f>$F$6*$E$10</f>
        <v>6.6666666666666666E-2</v>
      </c>
      <c r="F14" s="13"/>
      <c r="G14" s="13">
        <f>$G$10*$H$6</f>
        <v>3.5837104072398193E-2</v>
      </c>
      <c r="H14" s="13"/>
      <c r="I14" s="13">
        <f t="shared" si="0"/>
        <v>0.2118586094487423</v>
      </c>
    </row>
    <row r="15" spans="1:16" x14ac:dyDescent="0.2">
      <c r="B15" s="19" t="s">
        <v>29</v>
      </c>
      <c r="C15" s="8">
        <f>$D$7*$C$10</f>
        <v>4.7842741935483872E-2</v>
      </c>
      <c r="D15" s="8"/>
      <c r="E15" s="13">
        <f>F7*$E$10</f>
        <v>0</v>
      </c>
      <c r="F15" s="13"/>
      <c r="G15" s="13">
        <f>$G$10*H7</f>
        <v>0</v>
      </c>
      <c r="H15" s="13"/>
      <c r="I15" s="13">
        <f t="shared" si="0"/>
        <v>4.7842741935483872E-2</v>
      </c>
      <c r="L15" s="7"/>
      <c r="M15" s="24"/>
      <c r="N15" s="24"/>
      <c r="O15" s="24"/>
      <c r="P15" s="24"/>
    </row>
    <row r="22" spans="2:4" x14ac:dyDescent="0.2">
      <c r="C22" s="1"/>
      <c r="D22" s="1"/>
    </row>
    <row r="23" spans="2:4" x14ac:dyDescent="0.2">
      <c r="B23"/>
    </row>
    <row r="24" spans="2:4" x14ac:dyDescent="0.2">
      <c r="B24"/>
    </row>
    <row r="25" spans="2:4" x14ac:dyDescent="0.2">
      <c r="B25"/>
    </row>
    <row r="26" spans="2:4" x14ac:dyDescent="0.2">
      <c r="B26"/>
    </row>
    <row r="27" spans="2:4" x14ac:dyDescent="0.2">
      <c r="B27"/>
    </row>
    <row r="28" spans="2:4" x14ac:dyDescent="0.2">
      <c r="B28"/>
    </row>
    <row r="29" spans="2:4" x14ac:dyDescent="0.2">
      <c r="B29"/>
    </row>
    <row r="30" spans="2:4" x14ac:dyDescent="0.2">
      <c r="B30"/>
    </row>
    <row r="31" spans="2:4" x14ac:dyDescent="0.2">
      <c r="B31"/>
    </row>
    <row r="32" spans="2:4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 s="4"/>
    </row>
    <row r="47" spans="2:2" x14ac:dyDescent="0.2">
      <c r="B47" s="4"/>
    </row>
    <row r="48" spans="2:2" x14ac:dyDescent="0.2">
      <c r="B48" s="4"/>
    </row>
    <row r="49" spans="2:2" x14ac:dyDescent="0.2">
      <c r="B49" s="4"/>
    </row>
    <row r="50" spans="2:2" x14ac:dyDescent="0.2">
      <c r="B50" s="4"/>
    </row>
    <row r="51" spans="2:2" x14ac:dyDescent="0.2">
      <c r="B51" s="4"/>
    </row>
    <row r="52" spans="2:2" x14ac:dyDescent="0.2">
      <c r="B52" s="4"/>
    </row>
    <row r="53" spans="2:2" x14ac:dyDescent="0.2">
      <c r="B53" s="4"/>
    </row>
    <row r="54" spans="2:2" x14ac:dyDescent="0.2">
      <c r="B54" s="4"/>
    </row>
    <row r="55" spans="2:2" x14ac:dyDescent="0.2">
      <c r="B55" s="4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</sheetData>
  <mergeCells count="5">
    <mergeCell ref="C3:D3"/>
    <mergeCell ref="E3:F3"/>
    <mergeCell ref="G3:H3"/>
    <mergeCell ref="M15:N15"/>
    <mergeCell ref="O15:P1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EEFD0-43F1-4D99-A051-7C20C410F2A7}">
  <dimension ref="B3:Y30"/>
  <sheetViews>
    <sheetView topLeftCell="A46" workbookViewId="0">
      <selection activeCell="X18" sqref="X18:Y18"/>
    </sheetView>
  </sheetViews>
  <sheetFormatPr baseColWidth="10" defaultColWidth="8.83203125" defaultRowHeight="15" x14ac:dyDescent="0.2"/>
  <cols>
    <col min="2" max="2" width="24.5" customWidth="1"/>
    <col min="24" max="24" width="11" bestFit="1" customWidth="1"/>
  </cols>
  <sheetData>
    <row r="3" spans="2:7" x14ac:dyDescent="0.2">
      <c r="B3" t="s">
        <v>34</v>
      </c>
      <c r="C3" s="10" t="s">
        <v>16</v>
      </c>
      <c r="D3">
        <v>22.414000000000001</v>
      </c>
      <c r="E3" t="s">
        <v>12</v>
      </c>
    </row>
    <row r="5" spans="2:7" x14ac:dyDescent="0.2">
      <c r="D5" t="s">
        <v>13</v>
      </c>
      <c r="E5" t="s">
        <v>14</v>
      </c>
      <c r="F5" t="s">
        <v>15</v>
      </c>
    </row>
    <row r="6" spans="2:7" x14ac:dyDescent="0.2">
      <c r="B6" t="s">
        <v>61</v>
      </c>
      <c r="C6" s="2" t="s">
        <v>0</v>
      </c>
      <c r="D6">
        <v>2.5</v>
      </c>
      <c r="E6">
        <v>6</v>
      </c>
      <c r="F6">
        <v>57</v>
      </c>
    </row>
    <row r="7" spans="2:7" x14ac:dyDescent="0.2">
      <c r="B7" t="s">
        <v>62</v>
      </c>
      <c r="C7" s="2" t="s">
        <v>1</v>
      </c>
      <c r="D7">
        <v>3.5</v>
      </c>
      <c r="E7">
        <v>10</v>
      </c>
      <c r="F7">
        <v>104</v>
      </c>
    </row>
    <row r="8" spans="2:7" x14ac:dyDescent="0.2">
      <c r="C8" s="2" t="s">
        <v>2</v>
      </c>
      <c r="D8">
        <v>1</v>
      </c>
      <c r="E8">
        <v>5</v>
      </c>
      <c r="F8">
        <v>6</v>
      </c>
    </row>
    <row r="9" spans="2:7" x14ac:dyDescent="0.2">
      <c r="C9" s="2" t="s">
        <v>3</v>
      </c>
      <c r="D9">
        <v>0.5</v>
      </c>
      <c r="E9">
        <v>0</v>
      </c>
      <c r="F9">
        <v>0</v>
      </c>
    </row>
    <row r="11" spans="2:7" x14ac:dyDescent="0.2">
      <c r="C11" s="3" t="s">
        <v>4</v>
      </c>
      <c r="D11">
        <f>$D$3*(4*D6+D7-2*D8-3*D9)</f>
        <v>224.14000000000001</v>
      </c>
      <c r="E11" s="5">
        <f t="shared" ref="E11:F11" si="0">$D$3*(4*E6+E7-2*E8-3*E9)</f>
        <v>537.93600000000004</v>
      </c>
      <c r="F11">
        <f t="shared" si="0"/>
        <v>7172.4800000000005</v>
      </c>
    </row>
    <row r="12" spans="2:7" x14ac:dyDescent="0.2">
      <c r="C12" s="3" t="s">
        <v>35</v>
      </c>
      <c r="D12">
        <f>8*(12*D6+D7+16*D8+14*D9)</f>
        <v>452</v>
      </c>
      <c r="E12">
        <f t="shared" ref="E12:F12" si="1">8*(12*E6+E7+16*E8+14*E9)</f>
        <v>1296</v>
      </c>
      <c r="F12">
        <f t="shared" si="1"/>
        <v>7072</v>
      </c>
    </row>
    <row r="13" spans="2:7" ht="17" x14ac:dyDescent="0.25">
      <c r="B13" t="s">
        <v>39</v>
      </c>
      <c r="C13" s="11" t="s">
        <v>37</v>
      </c>
      <c r="D13" s="9">
        <f>D11/D12</f>
        <v>0.49588495575221242</v>
      </c>
      <c r="E13" s="9">
        <f t="shared" ref="E13:F13" si="2">E11/E12</f>
        <v>0.4150740740740741</v>
      </c>
      <c r="F13" s="9">
        <f t="shared" si="2"/>
        <v>1.0142081447963802</v>
      </c>
      <c r="G13" s="7" t="s">
        <v>66</v>
      </c>
    </row>
    <row r="14" spans="2:7" x14ac:dyDescent="0.2">
      <c r="C14" s="3" t="s">
        <v>4</v>
      </c>
      <c r="D14">
        <f>17000*D9</f>
        <v>8500</v>
      </c>
    </row>
    <row r="15" spans="2:7" x14ac:dyDescent="0.2">
      <c r="C15" s="3" t="s">
        <v>35</v>
      </c>
      <c r="D15">
        <f>12*D6+D7+16*D8+14*D9</f>
        <v>56.5</v>
      </c>
    </row>
    <row r="16" spans="2:7" x14ac:dyDescent="0.2">
      <c r="B16" t="s">
        <v>21</v>
      </c>
      <c r="C16" s="11" t="s">
        <v>17</v>
      </c>
      <c r="D16" s="6">
        <f>D14/D15</f>
        <v>150.44247787610618</v>
      </c>
      <c r="E16" s="7" t="s">
        <v>38</v>
      </c>
      <c r="F16" s="7" t="s">
        <v>38</v>
      </c>
      <c r="G16" s="7" t="s">
        <v>69</v>
      </c>
    </row>
    <row r="18" spans="2:25" x14ac:dyDescent="0.2">
      <c r="C18" s="24" t="s">
        <v>45</v>
      </c>
      <c r="D18" s="24"/>
      <c r="E18" s="24" t="s">
        <v>46</v>
      </c>
      <c r="F18" s="24"/>
      <c r="G18" s="24" t="s">
        <v>47</v>
      </c>
      <c r="H18" s="24"/>
      <c r="I18" t="s">
        <v>13</v>
      </c>
      <c r="J18" t="s">
        <v>14</v>
      </c>
      <c r="K18" t="s">
        <v>15</v>
      </c>
      <c r="L18" t="s">
        <v>43</v>
      </c>
      <c r="N18" s="24" t="s">
        <v>39</v>
      </c>
      <c r="O18" s="24"/>
      <c r="P18" s="24" t="s">
        <v>21</v>
      </c>
      <c r="Q18" s="24"/>
      <c r="S18" s="24" t="s">
        <v>57</v>
      </c>
      <c r="T18" s="24"/>
      <c r="V18" s="20" t="s">
        <v>55</v>
      </c>
      <c r="X18" s="25" t="s">
        <v>64</v>
      </c>
      <c r="Y18" s="25"/>
    </row>
    <row r="19" spans="2:25" x14ac:dyDescent="0.2">
      <c r="B19" t="s">
        <v>48</v>
      </c>
      <c r="C19" t="s">
        <v>5</v>
      </c>
      <c r="D19" t="s">
        <v>6</v>
      </c>
      <c r="E19" t="s">
        <v>5</v>
      </c>
      <c r="F19" t="s">
        <v>6</v>
      </c>
      <c r="G19" t="s">
        <v>5</v>
      </c>
      <c r="H19" t="s">
        <v>6</v>
      </c>
      <c r="I19" t="s">
        <v>40</v>
      </c>
      <c r="J19" t="s">
        <v>40</v>
      </c>
      <c r="K19" t="s">
        <v>40</v>
      </c>
      <c r="L19" t="s">
        <v>42</v>
      </c>
      <c r="N19" s="16" t="s">
        <v>19</v>
      </c>
      <c r="O19" t="s">
        <v>18</v>
      </c>
      <c r="P19" s="16" t="s">
        <v>20</v>
      </c>
      <c r="Q19" t="s">
        <v>44</v>
      </c>
      <c r="S19" s="24" t="s">
        <v>58</v>
      </c>
      <c r="T19" s="24"/>
      <c r="V19" t="s">
        <v>56</v>
      </c>
      <c r="X19" t="s">
        <v>63</v>
      </c>
      <c r="Y19" s="16" t="s">
        <v>65</v>
      </c>
    </row>
    <row r="20" spans="2:25" x14ac:dyDescent="0.2">
      <c r="B20" s="15" t="s">
        <v>22</v>
      </c>
      <c r="C20" s="13">
        <v>60</v>
      </c>
      <c r="D20" s="13">
        <v>71</v>
      </c>
      <c r="E20" s="13">
        <v>13</v>
      </c>
      <c r="F20">
        <v>16</v>
      </c>
      <c r="G20">
        <v>4</v>
      </c>
      <c r="H20">
        <v>9</v>
      </c>
      <c r="I20">
        <f>(C20+D20)/200</f>
        <v>0.65500000000000003</v>
      </c>
      <c r="J20">
        <f>(E20+F20)/200</f>
        <v>0.14499999999999999</v>
      </c>
      <c r="K20">
        <f>(G20+H20)/200</f>
        <v>6.5000000000000002E-2</v>
      </c>
      <c r="L20">
        <f>I20+J20+K20</f>
        <v>0.86499999999999999</v>
      </c>
      <c r="N20" s="9">
        <f>$D$13*I20+$E$13*J20+$F$13*K20</f>
        <v>0.4509139161702046</v>
      </c>
      <c r="O20" s="9">
        <f>N20/L20</f>
        <v>0.52128776435861801</v>
      </c>
      <c r="P20" s="5">
        <f>$D$16*I20/1.21589</f>
        <v>81.043369884487547</v>
      </c>
      <c r="Q20" s="12">
        <f>P20/L20</f>
        <v>93.691757091893123</v>
      </c>
      <c r="S20" s="13">
        <f>(0.21+0.25)/2</f>
        <v>0.22999999999999998</v>
      </c>
      <c r="T20" s="9">
        <f>S20/2.1</f>
        <v>0.10952380952380951</v>
      </c>
      <c r="V20" s="5">
        <f>HHV_Arthr_Max!$K$12</f>
        <v>18.717502215252885</v>
      </c>
      <c r="X20" s="6">
        <f>V20*T20*Quarry_data!$B$3*10*365</f>
        <v>1122.3816506931996</v>
      </c>
      <c r="Y20" s="6">
        <f>X20*Quarry_data!$D$1</f>
        <v>9540.244030892196</v>
      </c>
    </row>
    <row r="21" spans="2:25" x14ac:dyDescent="0.2">
      <c r="B21" s="15" t="s">
        <v>23</v>
      </c>
      <c r="C21" s="13">
        <v>31.4</v>
      </c>
      <c r="D21" s="13">
        <v>68.2</v>
      </c>
      <c r="E21" s="13">
        <v>8</v>
      </c>
      <c r="F21">
        <v>24.9</v>
      </c>
      <c r="G21">
        <v>4</v>
      </c>
      <c r="H21">
        <v>16.600000000000001</v>
      </c>
      <c r="I21">
        <f t="shared" ref="I21:I29" si="3">(C21+D21)/200</f>
        <v>0.498</v>
      </c>
      <c r="J21">
        <f t="shared" ref="J21:J29" si="4">(E21+F21)/200</f>
        <v>0.16449999999999998</v>
      </c>
      <c r="K21">
        <f t="shared" ref="K21:K29" si="5">(G21+H21)/200</f>
        <v>0.10300000000000001</v>
      </c>
      <c r="L21" s="9">
        <f t="shared" ref="L21:L29" si="6">I21+J21+K21</f>
        <v>0.76549999999999996</v>
      </c>
      <c r="N21" s="9">
        <f t="shared" ref="N21:N29" si="7">$D$13*I21+$E$13*J21+$F$13*K21</f>
        <v>0.41969383206381411</v>
      </c>
      <c r="O21" s="9">
        <f t="shared" ref="O21:O29" si="8">N21/L21</f>
        <v>0.54826104776461682</v>
      </c>
      <c r="P21" s="5">
        <f t="shared" ref="P21:P29" si="9">$D$16*I21/1.21589</f>
        <v>61.617707179350838</v>
      </c>
      <c r="Q21" s="12">
        <f t="shared" ref="Q21:Q29" si="10">P21/L21</f>
        <v>80.493412383214689</v>
      </c>
      <c r="S21" s="13">
        <f>(0.06+4.3)/2</f>
        <v>2.1799999999999997</v>
      </c>
      <c r="T21" s="9">
        <f t="shared" ref="T21:T29" si="11">S21/2.1</f>
        <v>1.038095238095238</v>
      </c>
      <c r="V21" s="5">
        <f>HHV_Arthr_Plat!$K$12</f>
        <v>17.130356170541923</v>
      </c>
      <c r="X21" s="6">
        <f>V21*T21*Quarry_data!$B$3*10*365</f>
        <v>9736.160289214431</v>
      </c>
      <c r="Y21" s="6">
        <f>X21*Quarry_data!$D$1</f>
        <v>82757.362458322663</v>
      </c>
    </row>
    <row r="22" spans="2:25" x14ac:dyDescent="0.2">
      <c r="B22" s="15" t="s">
        <v>7</v>
      </c>
      <c r="C22" s="13">
        <v>22</v>
      </c>
      <c r="D22" s="13"/>
      <c r="E22" s="13">
        <v>14.1</v>
      </c>
      <c r="G22">
        <v>14.5</v>
      </c>
      <c r="H22">
        <v>25</v>
      </c>
      <c r="I22">
        <f>C22/100</f>
        <v>0.22</v>
      </c>
      <c r="J22">
        <f>E22/100</f>
        <v>0.14099999999999999</v>
      </c>
      <c r="K22" s="9">
        <f t="shared" si="5"/>
        <v>0.19750000000000001</v>
      </c>
      <c r="L22">
        <f t="shared" si="6"/>
        <v>0.5585</v>
      </c>
      <c r="N22" s="9">
        <f t="shared" si="7"/>
        <v>0.36792624330721624</v>
      </c>
      <c r="O22" s="9">
        <f t="shared" si="8"/>
        <v>0.65877572660199868</v>
      </c>
      <c r="P22" s="5">
        <f t="shared" si="9"/>
        <v>27.220673854331697</v>
      </c>
      <c r="Q22" s="12">
        <f t="shared" si="10"/>
        <v>48.738896784837415</v>
      </c>
      <c r="S22" s="13">
        <v>0.02</v>
      </c>
      <c r="T22" s="9">
        <f t="shared" si="11"/>
        <v>9.5238095238095229E-3</v>
      </c>
      <c r="V22" s="5">
        <f>HHV_Botryococcus_br!$K$12</f>
        <v>14.372913849829979</v>
      </c>
      <c r="X22" s="6">
        <f>V22*T22*Quarry_data!$B$3*10*365</f>
        <v>74.944479359827739</v>
      </c>
      <c r="Y22" s="6">
        <f>X22*Quarry_data!$D$1</f>
        <v>637.02807455853576</v>
      </c>
    </row>
    <row r="23" spans="2:25" x14ac:dyDescent="0.2">
      <c r="B23" s="15" t="s">
        <v>9</v>
      </c>
      <c r="C23" s="13">
        <v>48</v>
      </c>
      <c r="D23" s="13"/>
      <c r="E23" s="13">
        <v>17</v>
      </c>
      <c r="G23">
        <v>16.600000000000001</v>
      </c>
      <c r="H23">
        <v>25.3</v>
      </c>
      <c r="I23">
        <f>(C23)/100</f>
        <v>0.48</v>
      </c>
      <c r="J23">
        <f>(E23)/100</f>
        <v>0.17</v>
      </c>
      <c r="K23" s="9">
        <f t="shared" si="5"/>
        <v>0.20950000000000002</v>
      </c>
      <c r="L23" s="9">
        <f t="shared" si="6"/>
        <v>0.85950000000000004</v>
      </c>
      <c r="N23" s="9">
        <f t="shared" si="7"/>
        <v>0.52106397768849622</v>
      </c>
      <c r="O23" s="9">
        <f t="shared" si="8"/>
        <v>0.60624081173763378</v>
      </c>
      <c r="P23" s="5">
        <f t="shared" si="9"/>
        <v>59.39056113672369</v>
      </c>
      <c r="Q23" s="12">
        <f t="shared" si="10"/>
        <v>69.098965836793127</v>
      </c>
      <c r="S23" s="13">
        <v>1.41</v>
      </c>
      <c r="T23" s="9">
        <f t="shared" si="11"/>
        <v>0.67142857142857137</v>
      </c>
      <c r="V23" s="5">
        <f>HHV_Chlamy_ren!$K$12</f>
        <v>20.814054956652267</v>
      </c>
      <c r="X23" s="6">
        <f>V23*T23*Quarry_data!$B$3*10*365</f>
        <v>7651.3952738864909</v>
      </c>
      <c r="Y23" s="6">
        <f>X23*Quarry_data!$D$1</f>
        <v>65036.859828035173</v>
      </c>
    </row>
    <row r="24" spans="2:25" x14ac:dyDescent="0.2">
      <c r="B24" s="15" t="s">
        <v>24</v>
      </c>
      <c r="C24" s="13">
        <v>51</v>
      </c>
      <c r="D24" s="13">
        <v>58</v>
      </c>
      <c r="E24" s="13">
        <v>12</v>
      </c>
      <c r="F24">
        <v>17</v>
      </c>
      <c r="G24">
        <v>10</v>
      </c>
      <c r="H24">
        <v>48</v>
      </c>
      <c r="I24">
        <f>(C24+D24)/200</f>
        <v>0.54500000000000004</v>
      </c>
      <c r="J24">
        <f>(E24+F24)/200</f>
        <v>0.14499999999999999</v>
      </c>
      <c r="K24">
        <f t="shared" si="5"/>
        <v>0.28999999999999998</v>
      </c>
      <c r="L24" s="9">
        <f t="shared" si="6"/>
        <v>0.98</v>
      </c>
      <c r="N24" s="9">
        <f t="shared" si="7"/>
        <v>0.62456340361664675</v>
      </c>
      <c r="O24" s="9">
        <f t="shared" si="8"/>
        <v>0.63730959552719058</v>
      </c>
      <c r="P24" s="5">
        <f t="shared" si="9"/>
        <v>67.4330329573217</v>
      </c>
      <c r="Q24" s="12">
        <f t="shared" si="10"/>
        <v>68.809217303389488</v>
      </c>
      <c r="S24" s="13">
        <v>1.26</v>
      </c>
      <c r="T24" s="9">
        <f t="shared" si="11"/>
        <v>0.6</v>
      </c>
      <c r="V24" s="5">
        <f>HHV_Chlo_sp!$K$12</f>
        <v>24.781330689198295</v>
      </c>
      <c r="X24" s="6">
        <f>V24*T24*Quarry_data!$B$3*10*365</f>
        <v>8140.6671314016394</v>
      </c>
      <c r="Y24" s="6">
        <f>X24*Quarry_data!$D$1</f>
        <v>69195.670616913936</v>
      </c>
    </row>
    <row r="25" spans="2:25" x14ac:dyDescent="0.2">
      <c r="B25" s="15" t="s">
        <v>25</v>
      </c>
      <c r="C25" s="13">
        <v>57</v>
      </c>
      <c r="D25" s="13">
        <v>60.4</v>
      </c>
      <c r="E25" s="13">
        <v>21</v>
      </c>
      <c r="G25">
        <v>2</v>
      </c>
      <c r="H25">
        <v>37</v>
      </c>
      <c r="I25">
        <f t="shared" si="3"/>
        <v>0.58700000000000008</v>
      </c>
      <c r="J25">
        <f>(E25)/100</f>
        <v>0.21</v>
      </c>
      <c r="K25">
        <f>(G25+H25)/200</f>
        <v>0.19500000000000001</v>
      </c>
      <c r="L25">
        <f t="shared" si="6"/>
        <v>0.99199999999999999</v>
      </c>
      <c r="N25" s="9">
        <f t="shared" si="7"/>
        <v>0.57602061281739836</v>
      </c>
      <c r="O25" s="9">
        <f t="shared" si="8"/>
        <v>0.58066594034011931</v>
      </c>
      <c r="P25" s="5">
        <f t="shared" si="9"/>
        <v>72.629707056785023</v>
      </c>
      <c r="Q25" s="12">
        <f t="shared" si="10"/>
        <v>73.215430500791356</v>
      </c>
      <c r="S25" s="13">
        <f>(0.29+0.76)/2</f>
        <v>0.52500000000000002</v>
      </c>
      <c r="T25" s="9">
        <f t="shared" si="11"/>
        <v>0.25</v>
      </c>
      <c r="V25" s="5">
        <f>HHV_Chlo_pyro!$K$12</f>
        <v>23.205017488052569</v>
      </c>
      <c r="X25" s="6">
        <f>V25*T25*Quarry_data!$B$3*10*365</f>
        <v>3176.1867686771952</v>
      </c>
      <c r="Y25" s="6">
        <f>X25*Quarry_data!$D$1</f>
        <v>26997.587533756159</v>
      </c>
    </row>
    <row r="26" spans="2:25" x14ac:dyDescent="0.2">
      <c r="B26" s="15" t="s">
        <v>8</v>
      </c>
      <c r="C26" s="13">
        <v>51</v>
      </c>
      <c r="D26" s="13">
        <v>58</v>
      </c>
      <c r="E26" s="13">
        <v>9</v>
      </c>
      <c r="F26">
        <v>17</v>
      </c>
      <c r="G26">
        <v>5</v>
      </c>
      <c r="H26">
        <v>58</v>
      </c>
      <c r="I26">
        <f t="shared" si="3"/>
        <v>0.54500000000000004</v>
      </c>
      <c r="J26">
        <f>(E26+F26)/200</f>
        <v>0.13</v>
      </c>
      <c r="K26">
        <f t="shared" si="5"/>
        <v>0.315</v>
      </c>
      <c r="L26" s="9">
        <f t="shared" si="6"/>
        <v>0.99</v>
      </c>
      <c r="N26" s="9">
        <f t="shared" si="7"/>
        <v>0.64369249612544521</v>
      </c>
      <c r="O26" s="9">
        <f t="shared" si="8"/>
        <v>0.6501944405307527</v>
      </c>
      <c r="P26" s="5">
        <f t="shared" si="9"/>
        <v>67.4330329573217</v>
      </c>
      <c r="Q26" s="12">
        <f t="shared" si="10"/>
        <v>68.114174704365354</v>
      </c>
      <c r="S26" s="13">
        <f>(0.02+0.2)/2</f>
        <v>0.11</v>
      </c>
      <c r="T26" s="9">
        <f t="shared" si="11"/>
        <v>5.2380952380952382E-2</v>
      </c>
      <c r="V26" s="5">
        <f>HHV_Chlo_vulg!$K$12</f>
        <v>25.465400489768101</v>
      </c>
      <c r="X26" s="6">
        <f>V26*T26*Quarry_data!$B$3*10*365</f>
        <v>730.31130690299244</v>
      </c>
      <c r="Y26" s="6">
        <f>X26*Quarry_data!$D$1</f>
        <v>6207.6461086754362</v>
      </c>
    </row>
    <row r="27" spans="2:25" x14ac:dyDescent="0.2">
      <c r="B27" s="15" t="s">
        <v>26</v>
      </c>
      <c r="C27" s="13">
        <v>48</v>
      </c>
      <c r="D27" s="13"/>
      <c r="E27" s="13">
        <v>27</v>
      </c>
      <c r="G27">
        <v>15</v>
      </c>
      <c r="H27">
        <v>25</v>
      </c>
      <c r="I27">
        <f>(C27)/100</f>
        <v>0.48</v>
      </c>
      <c r="J27">
        <f>(E27)/100</f>
        <v>0.27</v>
      </c>
      <c r="K27">
        <f t="shared" si="5"/>
        <v>0.2</v>
      </c>
      <c r="L27" s="9">
        <f t="shared" si="6"/>
        <v>0.95</v>
      </c>
      <c r="N27" s="9">
        <f t="shared" si="7"/>
        <v>0.55293640772033803</v>
      </c>
      <c r="O27" s="9">
        <f t="shared" si="8"/>
        <v>0.58203832391614529</v>
      </c>
      <c r="P27" s="5">
        <f t="shared" si="9"/>
        <v>59.39056113672369</v>
      </c>
      <c r="Q27" s="12">
        <f t="shared" si="10"/>
        <v>62.516380143919676</v>
      </c>
      <c r="S27" s="13">
        <v>5.5E-2</v>
      </c>
      <c r="T27" s="9">
        <f t="shared" si="11"/>
        <v>2.6190476190476191E-2</v>
      </c>
      <c r="V27" s="5">
        <f>HHV_Haemat_pluv!K12</f>
        <v>22.118324234904879</v>
      </c>
      <c r="X27" s="6">
        <f>V27*T27*Quarry_data!$B$3*10*365</f>
        <v>317.16097072551105</v>
      </c>
      <c r="Y27" s="6">
        <f>X27*Quarry_data!$D$1</f>
        <v>2695.8682511668439</v>
      </c>
    </row>
    <row r="28" spans="2:25" x14ac:dyDescent="0.2">
      <c r="B28" s="15" t="s">
        <v>27</v>
      </c>
      <c r="C28" s="13">
        <v>27</v>
      </c>
      <c r="D28" s="13"/>
      <c r="E28" s="13">
        <v>17</v>
      </c>
      <c r="G28">
        <v>7</v>
      </c>
      <c r="H28">
        <v>40</v>
      </c>
      <c r="I28">
        <f>(C28)/100</f>
        <v>0.27</v>
      </c>
      <c r="J28">
        <f>(E28)/100</f>
        <v>0.17</v>
      </c>
      <c r="K28">
        <f t="shared" si="5"/>
        <v>0.23499999999999999</v>
      </c>
      <c r="L28">
        <f t="shared" si="6"/>
        <v>0.67500000000000004</v>
      </c>
      <c r="N28" s="9">
        <f t="shared" si="7"/>
        <v>0.44279044467283935</v>
      </c>
      <c r="O28" s="9">
        <f t="shared" si="8"/>
        <v>0.65598584395976189</v>
      </c>
      <c r="P28" s="5">
        <f t="shared" si="9"/>
        <v>33.407190639407077</v>
      </c>
      <c r="Q28" s="12">
        <f t="shared" si="10"/>
        <v>49.492134280603075</v>
      </c>
      <c r="S28" s="13">
        <f>(0.23+1.6)/2</f>
        <v>0.91500000000000004</v>
      </c>
      <c r="T28" s="9">
        <f t="shared" si="11"/>
        <v>0.43571428571428572</v>
      </c>
      <c r="V28" s="5">
        <f>HHV_Iso_gal!$K$12</f>
        <v>17.31334323208651</v>
      </c>
      <c r="X28" s="6">
        <f>V28*T28*Quarry_data!$B$3*10*365</f>
        <v>4130.1598613829237</v>
      </c>
      <c r="Y28" s="6">
        <f>X28*Quarry_data!$D$1</f>
        <v>35106.358821754853</v>
      </c>
    </row>
    <row r="29" spans="2:25" x14ac:dyDescent="0.2">
      <c r="B29" s="15" t="s">
        <v>10</v>
      </c>
      <c r="C29" s="13">
        <v>11.8</v>
      </c>
      <c r="D29" s="13">
        <v>56</v>
      </c>
      <c r="E29" s="13">
        <v>10</v>
      </c>
      <c r="F29">
        <v>17</v>
      </c>
      <c r="G29">
        <v>11</v>
      </c>
      <c r="H29">
        <v>55</v>
      </c>
      <c r="I29">
        <f t="shared" si="3"/>
        <v>0.33899999999999997</v>
      </c>
      <c r="J29">
        <f t="shared" si="4"/>
        <v>0.13500000000000001</v>
      </c>
      <c r="K29">
        <f t="shared" si="5"/>
        <v>0.33</v>
      </c>
      <c r="L29">
        <f t="shared" si="6"/>
        <v>0.80400000000000005</v>
      </c>
      <c r="N29" s="9">
        <f t="shared" si="7"/>
        <v>0.55882868778280548</v>
      </c>
      <c r="O29" s="9">
        <f t="shared" si="8"/>
        <v>0.69506055694378788</v>
      </c>
      <c r="P29" s="5">
        <f t="shared" si="9"/>
        <v>41.94458380281111</v>
      </c>
      <c r="Q29" s="12">
        <f t="shared" si="10"/>
        <v>52.169880351755111</v>
      </c>
      <c r="S29" s="13">
        <f>(0.004+0.074)/2</f>
        <v>3.9E-2</v>
      </c>
      <c r="T29" s="9">
        <f t="shared" si="11"/>
        <v>1.8571428571428572E-2</v>
      </c>
      <c r="V29" s="5">
        <f>HHV_Scene_Obl!$K$12</f>
        <v>21.740620337055418</v>
      </c>
      <c r="X29" s="6">
        <f>V29*T29*Quarry_data!$B$3*10*365</f>
        <v>221.05552178427419</v>
      </c>
      <c r="Y29" s="6">
        <f>X29*Quarry_data!$D$1</f>
        <v>1878.9719351663307</v>
      </c>
    </row>
    <row r="30" spans="2:25" x14ac:dyDescent="0.2">
      <c r="N30" s="9"/>
      <c r="O30" s="9"/>
      <c r="P30" s="5"/>
      <c r="Q30" s="12"/>
      <c r="S30" t="s">
        <v>59</v>
      </c>
      <c r="T30" s="16" t="s">
        <v>60</v>
      </c>
    </row>
  </sheetData>
  <mergeCells count="8">
    <mergeCell ref="X18:Y18"/>
    <mergeCell ref="G18:H18"/>
    <mergeCell ref="E18:F18"/>
    <mergeCell ref="C18:D18"/>
    <mergeCell ref="N18:O18"/>
    <mergeCell ref="P18:Q18"/>
    <mergeCell ref="S19:T19"/>
    <mergeCell ref="S18:T1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34255-322D-4D4A-BA6B-4044435BD8DC}">
  <dimension ref="A1:T12"/>
  <sheetViews>
    <sheetView workbookViewId="0">
      <selection activeCell="F11" sqref="F11"/>
    </sheetView>
  </sheetViews>
  <sheetFormatPr baseColWidth="10" defaultColWidth="8.83203125" defaultRowHeight="15" x14ac:dyDescent="0.2"/>
  <cols>
    <col min="17" max="17" width="24.5" customWidth="1"/>
  </cols>
  <sheetData>
    <row r="1" spans="1:20" x14ac:dyDescent="0.2">
      <c r="B1">
        <v>17</v>
      </c>
      <c r="C1" t="s">
        <v>33</v>
      </c>
      <c r="D1">
        <f>B1*D2</f>
        <v>8.5</v>
      </c>
      <c r="E1" t="s">
        <v>33</v>
      </c>
      <c r="J1" s="13"/>
      <c r="K1" s="13"/>
      <c r="L1" s="13"/>
      <c r="M1" s="13"/>
      <c r="N1" s="13"/>
      <c r="O1" s="13"/>
      <c r="P1" s="13"/>
      <c r="Q1" s="15"/>
      <c r="R1" s="13"/>
      <c r="S1" s="13"/>
      <c r="T1" s="13"/>
    </row>
    <row r="2" spans="1:20" ht="17" x14ac:dyDescent="0.2">
      <c r="A2" t="s">
        <v>50</v>
      </c>
      <c r="B2">
        <f>B1*10^4</f>
        <v>170000</v>
      </c>
      <c r="C2" t="s">
        <v>74</v>
      </c>
      <c r="D2">
        <v>0.5</v>
      </c>
      <c r="E2">
        <f>D2*B2</f>
        <v>85000</v>
      </c>
      <c r="F2" t="s">
        <v>74</v>
      </c>
      <c r="J2" s="13"/>
      <c r="K2" s="13"/>
      <c r="L2" s="13"/>
      <c r="M2" s="13"/>
      <c r="N2" s="13"/>
      <c r="O2" s="13"/>
      <c r="P2" s="13"/>
      <c r="Q2" s="15"/>
      <c r="R2" s="13"/>
      <c r="S2" s="13"/>
      <c r="T2" s="13"/>
    </row>
    <row r="3" spans="1:20" x14ac:dyDescent="0.2">
      <c r="A3" t="s">
        <v>51</v>
      </c>
      <c r="B3">
        <f>15*10^(-2)</f>
        <v>0.15</v>
      </c>
      <c r="C3" t="s">
        <v>11</v>
      </c>
      <c r="D3">
        <f>B4*10^3</f>
        <v>12750000</v>
      </c>
      <c r="J3" s="13"/>
      <c r="K3" s="13"/>
      <c r="L3" s="13"/>
      <c r="M3" s="13"/>
      <c r="N3" s="13"/>
      <c r="O3" s="13"/>
      <c r="P3" s="13"/>
      <c r="Q3" s="15"/>
      <c r="R3" s="13"/>
      <c r="S3" s="13"/>
      <c r="T3" s="13"/>
    </row>
    <row r="4" spans="1:20" ht="17" x14ac:dyDescent="0.2">
      <c r="A4" t="s">
        <v>52</v>
      </c>
      <c r="B4">
        <f>E2*B3</f>
        <v>12750</v>
      </c>
      <c r="C4" t="s">
        <v>75</v>
      </c>
      <c r="D4" s="13">
        <f>D3</f>
        <v>12750000</v>
      </c>
      <c r="E4" t="s">
        <v>12</v>
      </c>
      <c r="J4" s="13"/>
      <c r="K4" s="13"/>
      <c r="L4" s="13"/>
      <c r="M4" s="13"/>
      <c r="N4" s="13"/>
      <c r="O4" s="13"/>
      <c r="P4" s="13"/>
      <c r="Q4" s="15"/>
      <c r="R4" s="13"/>
      <c r="S4" s="13"/>
      <c r="T4" s="13"/>
    </row>
    <row r="5" spans="1:20" x14ac:dyDescent="0.2">
      <c r="J5" s="13"/>
      <c r="K5" s="13"/>
      <c r="L5" s="13"/>
      <c r="M5" s="13"/>
      <c r="N5" s="13"/>
      <c r="O5" s="13"/>
      <c r="P5" s="13"/>
      <c r="Q5" s="15"/>
      <c r="R5" s="13"/>
      <c r="S5" s="13"/>
      <c r="T5" s="13"/>
    </row>
    <row r="6" spans="1:20" x14ac:dyDescent="0.2">
      <c r="J6" s="13"/>
      <c r="K6" s="13"/>
      <c r="L6" s="13"/>
      <c r="M6" s="13"/>
      <c r="N6" s="13"/>
      <c r="O6" s="13"/>
      <c r="P6" s="13"/>
      <c r="Q6" s="15"/>
      <c r="R6" s="13"/>
      <c r="S6" s="13"/>
      <c r="T6" s="13"/>
    </row>
    <row r="7" spans="1:20" x14ac:dyDescent="0.2">
      <c r="J7" s="13"/>
      <c r="K7" s="13"/>
      <c r="L7" s="13"/>
      <c r="M7" s="13"/>
      <c r="N7" s="13"/>
      <c r="O7" s="13"/>
      <c r="P7" s="13"/>
      <c r="Q7" s="15"/>
      <c r="R7" s="13"/>
      <c r="S7" s="13"/>
      <c r="T7" s="13"/>
    </row>
    <row r="8" spans="1:20" x14ac:dyDescent="0.2">
      <c r="J8" s="13"/>
      <c r="K8" s="13"/>
      <c r="L8" s="13"/>
      <c r="M8" s="13"/>
      <c r="N8" s="13"/>
      <c r="O8" s="13"/>
      <c r="P8" s="13"/>
      <c r="Q8" s="15"/>
      <c r="R8" s="13"/>
      <c r="S8" s="13"/>
      <c r="T8" s="13"/>
    </row>
    <row r="9" spans="1:20" x14ac:dyDescent="0.2">
      <c r="J9" s="13"/>
      <c r="K9" s="13"/>
      <c r="L9" s="13"/>
      <c r="M9" s="13"/>
      <c r="N9" s="13"/>
      <c r="O9" s="13"/>
      <c r="P9" s="13"/>
      <c r="Q9" s="15"/>
      <c r="R9" s="13"/>
      <c r="S9" s="13"/>
      <c r="T9" s="13"/>
    </row>
    <row r="10" spans="1:20" x14ac:dyDescent="0.2">
      <c r="J10" s="13"/>
      <c r="K10" s="13"/>
      <c r="L10" s="13"/>
      <c r="M10" s="13"/>
      <c r="N10" s="13"/>
      <c r="O10" s="13"/>
      <c r="P10" s="13"/>
      <c r="Q10" s="15"/>
      <c r="R10" s="13"/>
      <c r="S10" s="13"/>
      <c r="T10" s="13"/>
    </row>
    <row r="11" spans="1:20" x14ac:dyDescent="0.2"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x14ac:dyDescent="0.2"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BBA4-D81E-48EB-912B-62B74A526BB3}">
  <dimension ref="A1:P63"/>
  <sheetViews>
    <sheetView zoomScale="90" zoomScaleNormal="90" workbookViewId="0">
      <selection activeCell="K24" sqref="K24"/>
    </sheetView>
  </sheetViews>
  <sheetFormatPr baseColWidth="10" defaultColWidth="8.83203125" defaultRowHeight="15" x14ac:dyDescent="0.2"/>
  <cols>
    <col min="2" max="2" width="25.1640625" style="2" customWidth="1"/>
    <col min="4" max="4" width="10.83203125" customWidth="1"/>
  </cols>
  <sheetData>
    <row r="1" spans="1:16" x14ac:dyDescent="0.2">
      <c r="B1" s="15"/>
      <c r="C1" s="13"/>
    </row>
    <row r="2" spans="1:16" x14ac:dyDescent="0.2">
      <c r="B2" s="2" t="s">
        <v>16</v>
      </c>
      <c r="C2">
        <v>22.414000000000001</v>
      </c>
      <c r="D2" t="s">
        <v>12</v>
      </c>
    </row>
    <row r="3" spans="1:16" x14ac:dyDescent="0.2">
      <c r="C3" s="24" t="s">
        <v>13</v>
      </c>
      <c r="D3" s="24"/>
      <c r="E3" s="24" t="s">
        <v>14</v>
      </c>
      <c r="F3" s="24"/>
      <c r="G3" s="24" t="s">
        <v>15</v>
      </c>
      <c r="H3" s="24"/>
    </row>
    <row r="4" spans="1:16" x14ac:dyDescent="0.2">
      <c r="A4" t="s">
        <v>31</v>
      </c>
      <c r="B4" s="17" t="s">
        <v>0</v>
      </c>
      <c r="C4" s="1">
        <v>1.9</v>
      </c>
      <c r="D4" s="1">
        <f>C4*12/$C$8</f>
        <v>0.45967741935483869</v>
      </c>
      <c r="E4" s="1">
        <v>6</v>
      </c>
      <c r="F4" s="1">
        <f>E4*12/$E$8</f>
        <v>0.44444444444444442</v>
      </c>
      <c r="G4" s="1">
        <v>57</v>
      </c>
      <c r="H4" s="1">
        <f>G4*12/$G$8</f>
        <v>0.77375565610859731</v>
      </c>
    </row>
    <row r="5" spans="1:16" x14ac:dyDescent="0.2">
      <c r="A5" t="s">
        <v>30</v>
      </c>
      <c r="B5" s="17" t="s">
        <v>1</v>
      </c>
      <c r="C5" s="1">
        <v>3.8</v>
      </c>
      <c r="D5" s="1">
        <f>C5*1/$C$8</f>
        <v>7.6612903225806453E-2</v>
      </c>
      <c r="E5" s="1">
        <v>10</v>
      </c>
      <c r="F5" s="1">
        <f>E5*1/$E$8</f>
        <v>6.1728395061728392E-2</v>
      </c>
      <c r="G5" s="1">
        <v>104</v>
      </c>
      <c r="H5" s="1">
        <f>G5*1/$G$8</f>
        <v>0.11764705882352941</v>
      </c>
    </row>
    <row r="6" spans="1:16" x14ac:dyDescent="0.2">
      <c r="A6" t="s">
        <v>28</v>
      </c>
      <c r="B6" s="17" t="s">
        <v>2</v>
      </c>
      <c r="C6" s="1">
        <v>1</v>
      </c>
      <c r="D6" s="1">
        <f>C6*16/$C$8</f>
        <v>0.32258064516129037</v>
      </c>
      <c r="E6" s="1">
        <v>5</v>
      </c>
      <c r="F6" s="1">
        <f>E6*16/$E$8</f>
        <v>0.49382716049382713</v>
      </c>
      <c r="G6" s="1">
        <v>6</v>
      </c>
      <c r="H6" s="1">
        <f>G6*16/$G$8</f>
        <v>0.10859728506787331</v>
      </c>
    </row>
    <row r="7" spans="1:16" x14ac:dyDescent="0.2">
      <c r="A7" t="s">
        <v>29</v>
      </c>
      <c r="B7" s="17" t="s">
        <v>3</v>
      </c>
      <c r="C7" s="1">
        <v>0.5</v>
      </c>
      <c r="D7" s="1">
        <f>C7*14/$C$8</f>
        <v>0.14112903225806453</v>
      </c>
      <c r="E7" s="1">
        <v>0</v>
      </c>
      <c r="F7" s="1">
        <f>E7*14/$E$8</f>
        <v>0</v>
      </c>
      <c r="G7" s="1">
        <v>0</v>
      </c>
      <c r="H7" s="1">
        <f>G7*14/$G$8</f>
        <v>0</v>
      </c>
    </row>
    <row r="8" spans="1:16" x14ac:dyDescent="0.2">
      <c r="B8" s="17" t="s">
        <v>49</v>
      </c>
      <c r="C8" s="1">
        <f>12*C4+1*C5+16*C6+14*C7</f>
        <v>49.599999999999994</v>
      </c>
      <c r="D8" s="1"/>
      <c r="E8" s="1">
        <f>12*E4+1*E5+16*E6+14*E7</f>
        <v>162</v>
      </c>
      <c r="F8" s="1"/>
      <c r="G8" s="1">
        <f>12*G4+1*G5+16*G6+14*G7</f>
        <v>884</v>
      </c>
      <c r="H8" s="1"/>
    </row>
    <row r="9" spans="1:16" x14ac:dyDescent="0.2">
      <c r="B9" s="3"/>
    </row>
    <row r="10" spans="1:16" x14ac:dyDescent="0.2">
      <c r="B10" s="15" t="s">
        <v>54</v>
      </c>
      <c r="C10" s="13">
        <f>Calculation_Sheet!I20</f>
        <v>0.65500000000000003</v>
      </c>
      <c r="D10" s="13"/>
      <c r="E10" s="13">
        <f>Calculation_Sheet!J20</f>
        <v>0.14499999999999999</v>
      </c>
      <c r="F10" s="13"/>
      <c r="G10" s="13">
        <f>Calculation_Sheet!K20</f>
        <v>6.5000000000000002E-2</v>
      </c>
      <c r="H10" s="13"/>
      <c r="I10" s="13">
        <f>C10+E10+G10</f>
        <v>0.86499999999999999</v>
      </c>
    </row>
    <row r="11" spans="1:16" x14ac:dyDescent="0.2">
      <c r="B11" s="15" t="s">
        <v>32</v>
      </c>
      <c r="C11" s="18">
        <f>C10/$I$10</f>
        <v>0.75722543352601157</v>
      </c>
      <c r="D11" s="8"/>
      <c r="E11" s="18">
        <f>E10/$I$10</f>
        <v>0.16763005780346821</v>
      </c>
      <c r="F11" s="13"/>
      <c r="G11" s="18">
        <f>G10/$I$10</f>
        <v>7.5144508670520235E-2</v>
      </c>
      <c r="H11" s="13"/>
      <c r="I11" s="13"/>
      <c r="K11" t="s">
        <v>53</v>
      </c>
    </row>
    <row r="12" spans="1:16" x14ac:dyDescent="0.2">
      <c r="B12" s="19" t="s">
        <v>31</v>
      </c>
      <c r="C12" s="8">
        <f>$D$4*$C$10</f>
        <v>0.30108870967741935</v>
      </c>
      <c r="D12" s="8"/>
      <c r="E12" s="13">
        <f>$F$4*$E$10</f>
        <v>6.4444444444444443E-2</v>
      </c>
      <c r="F12" s="13"/>
      <c r="G12" s="13">
        <f>$G$10*$H$4</f>
        <v>5.0294117647058829E-2</v>
      </c>
      <c r="H12" s="13"/>
      <c r="I12" s="13">
        <f>C12+E12+G12</f>
        <v>0.41582727176892265</v>
      </c>
      <c r="K12" s="14">
        <f>34.1*I12+102*I13+6.3*I15-9.85*I14</f>
        <v>18.717502215252885</v>
      </c>
    </row>
    <row r="13" spans="1:16" x14ac:dyDescent="0.2">
      <c r="B13" s="19" t="s">
        <v>30</v>
      </c>
      <c r="C13" s="8">
        <f>$D$5*$C$10</f>
        <v>5.018145161290323E-2</v>
      </c>
      <c r="D13" s="8"/>
      <c r="E13" s="13">
        <f>$F$5*$E$10</f>
        <v>8.9506172839506157E-3</v>
      </c>
      <c r="F13" s="13"/>
      <c r="G13" s="13">
        <f>$G$10*$H$5</f>
        <v>7.6470588235294122E-3</v>
      </c>
      <c r="H13" s="13"/>
      <c r="I13" s="13">
        <f t="shared" ref="I13:I15" si="0">C13+E13+G13</f>
        <v>6.6779127720383261E-2</v>
      </c>
    </row>
    <row r="14" spans="1:16" x14ac:dyDescent="0.2">
      <c r="B14" s="19" t="s">
        <v>28</v>
      </c>
      <c r="C14" s="8">
        <f>$D$6*$C$10</f>
        <v>0.2112903225806452</v>
      </c>
      <c r="D14" s="8"/>
      <c r="E14" s="13">
        <f>$F$6*$E$10</f>
        <v>7.1604938271604926E-2</v>
      </c>
      <c r="F14" s="13"/>
      <c r="G14" s="13">
        <f>$G$10*$H$6</f>
        <v>7.058823529411765E-3</v>
      </c>
      <c r="H14" s="13"/>
      <c r="I14" s="13">
        <f t="shared" si="0"/>
        <v>0.28995408438166193</v>
      </c>
    </row>
    <row r="15" spans="1:16" x14ac:dyDescent="0.2">
      <c r="B15" s="19" t="s">
        <v>29</v>
      </c>
      <c r="C15" s="8">
        <f>$D$7*$C$10</f>
        <v>9.243951612903227E-2</v>
      </c>
      <c r="D15" s="8"/>
      <c r="E15" s="13">
        <f>F7*$E$10</f>
        <v>0</v>
      </c>
      <c r="F15" s="13"/>
      <c r="G15" s="13">
        <f>$G$10*H7</f>
        <v>0</v>
      </c>
      <c r="H15" s="13"/>
      <c r="I15" s="13">
        <f t="shared" si="0"/>
        <v>9.243951612903227E-2</v>
      </c>
      <c r="L15" s="7"/>
      <c r="M15" s="24"/>
      <c r="N15" s="24"/>
      <c r="O15" s="24"/>
      <c r="P15" s="24"/>
    </row>
    <row r="22" spans="2:4" x14ac:dyDescent="0.2">
      <c r="C22" s="1"/>
      <c r="D22" s="1"/>
    </row>
    <row r="23" spans="2:4" x14ac:dyDescent="0.2">
      <c r="B23"/>
    </row>
    <row r="24" spans="2:4" x14ac:dyDescent="0.2">
      <c r="B24"/>
    </row>
    <row r="25" spans="2:4" x14ac:dyDescent="0.2">
      <c r="B25"/>
    </row>
    <row r="26" spans="2:4" x14ac:dyDescent="0.2">
      <c r="B26"/>
    </row>
    <row r="27" spans="2:4" x14ac:dyDescent="0.2">
      <c r="B27"/>
    </row>
    <row r="28" spans="2:4" x14ac:dyDescent="0.2">
      <c r="B28"/>
    </row>
    <row r="29" spans="2:4" x14ac:dyDescent="0.2">
      <c r="B29"/>
    </row>
    <row r="30" spans="2:4" x14ac:dyDescent="0.2">
      <c r="B30"/>
    </row>
    <row r="31" spans="2:4" x14ac:dyDescent="0.2">
      <c r="B31"/>
    </row>
    <row r="32" spans="2:4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 s="4"/>
    </row>
    <row r="47" spans="2:2" x14ac:dyDescent="0.2">
      <c r="B47" s="4"/>
    </row>
    <row r="48" spans="2:2" x14ac:dyDescent="0.2">
      <c r="B48" s="4"/>
    </row>
    <row r="49" spans="2:2" x14ac:dyDescent="0.2">
      <c r="B49" s="4"/>
    </row>
    <row r="50" spans="2:2" x14ac:dyDescent="0.2">
      <c r="B50" s="4"/>
    </row>
    <row r="51" spans="2:2" x14ac:dyDescent="0.2">
      <c r="B51" s="4"/>
    </row>
    <row r="52" spans="2:2" x14ac:dyDescent="0.2">
      <c r="B52" s="4"/>
    </row>
    <row r="53" spans="2:2" x14ac:dyDescent="0.2">
      <c r="B53" s="4"/>
    </row>
    <row r="54" spans="2:2" x14ac:dyDescent="0.2">
      <c r="B54" s="4"/>
    </row>
    <row r="55" spans="2:2" x14ac:dyDescent="0.2">
      <c r="B55" s="4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</sheetData>
  <mergeCells count="5">
    <mergeCell ref="C3:D3"/>
    <mergeCell ref="E3:F3"/>
    <mergeCell ref="G3:H3"/>
    <mergeCell ref="M15:N15"/>
    <mergeCell ref="O15:P1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9E84F-5689-4271-9C41-F0577A256F7A}">
  <dimension ref="A1:P63"/>
  <sheetViews>
    <sheetView zoomScale="90" zoomScaleNormal="90" workbookViewId="0">
      <selection activeCell="H24" sqref="H24"/>
    </sheetView>
  </sheetViews>
  <sheetFormatPr baseColWidth="10" defaultColWidth="8.83203125" defaultRowHeight="15" x14ac:dyDescent="0.2"/>
  <cols>
    <col min="2" max="2" width="25.1640625" style="2" customWidth="1"/>
    <col min="4" max="4" width="10.83203125" customWidth="1"/>
  </cols>
  <sheetData>
    <row r="1" spans="1:16" x14ac:dyDescent="0.2">
      <c r="B1" s="15"/>
      <c r="C1" s="13"/>
    </row>
    <row r="2" spans="1:16" x14ac:dyDescent="0.2">
      <c r="B2" s="2" t="s">
        <v>16</v>
      </c>
      <c r="C2">
        <v>22.414000000000001</v>
      </c>
      <c r="D2" t="s">
        <v>12</v>
      </c>
    </row>
    <row r="3" spans="1:16" x14ac:dyDescent="0.2">
      <c r="C3" s="24" t="s">
        <v>13</v>
      </c>
      <c r="D3" s="24"/>
      <c r="E3" s="24" t="s">
        <v>14</v>
      </c>
      <c r="F3" s="24"/>
      <c r="G3" s="24" t="s">
        <v>15</v>
      </c>
      <c r="H3" s="24"/>
    </row>
    <row r="4" spans="1:16" x14ac:dyDescent="0.2">
      <c r="A4" t="s">
        <v>31</v>
      </c>
      <c r="B4" s="17" t="s">
        <v>0</v>
      </c>
      <c r="C4" s="1">
        <v>1.9</v>
      </c>
      <c r="D4" s="1">
        <f>C4*12/$C$8</f>
        <v>0.45967741935483869</v>
      </c>
      <c r="E4" s="1">
        <v>6</v>
      </c>
      <c r="F4" s="1">
        <f>E4*12/$E$8</f>
        <v>0.44444444444444442</v>
      </c>
      <c r="G4" s="1">
        <v>57</v>
      </c>
      <c r="H4" s="1">
        <f>G4*12/$G$8</f>
        <v>0.77375565610859731</v>
      </c>
    </row>
    <row r="5" spans="1:16" x14ac:dyDescent="0.2">
      <c r="A5" t="s">
        <v>30</v>
      </c>
      <c r="B5" s="17" t="s">
        <v>1</v>
      </c>
      <c r="C5" s="1">
        <v>3.8</v>
      </c>
      <c r="D5" s="1">
        <f>C5*1/$C$8</f>
        <v>7.6612903225806453E-2</v>
      </c>
      <c r="E5" s="1">
        <v>10</v>
      </c>
      <c r="F5" s="1">
        <f>E5*1/$E$8</f>
        <v>6.1728395061728392E-2</v>
      </c>
      <c r="G5" s="1">
        <v>104</v>
      </c>
      <c r="H5" s="1">
        <f>G5*1/$G$8</f>
        <v>0.11764705882352941</v>
      </c>
    </row>
    <row r="6" spans="1:16" x14ac:dyDescent="0.2">
      <c r="A6" t="s">
        <v>28</v>
      </c>
      <c r="B6" s="17" t="s">
        <v>2</v>
      </c>
      <c r="C6" s="1">
        <v>1</v>
      </c>
      <c r="D6" s="1">
        <f>C6*16/$C$8</f>
        <v>0.32258064516129037</v>
      </c>
      <c r="E6" s="1">
        <v>5</v>
      </c>
      <c r="F6" s="1">
        <f>E6*16/$E$8</f>
        <v>0.49382716049382713</v>
      </c>
      <c r="G6" s="1">
        <v>6</v>
      </c>
      <c r="H6" s="1">
        <f>G6*16/$G$8</f>
        <v>0.10859728506787331</v>
      </c>
    </row>
    <row r="7" spans="1:16" x14ac:dyDescent="0.2">
      <c r="A7" t="s">
        <v>29</v>
      </c>
      <c r="B7" s="17" t="s">
        <v>3</v>
      </c>
      <c r="C7" s="1">
        <v>0.5</v>
      </c>
      <c r="D7" s="1">
        <f>C7*14/$C$8</f>
        <v>0.14112903225806453</v>
      </c>
      <c r="E7" s="1">
        <v>0</v>
      </c>
      <c r="F7" s="1">
        <f>E7*14/$E$8</f>
        <v>0</v>
      </c>
      <c r="G7" s="1">
        <v>0</v>
      </c>
      <c r="H7" s="1">
        <f>G7*14/$G$8</f>
        <v>0</v>
      </c>
    </row>
    <row r="8" spans="1:16" x14ac:dyDescent="0.2">
      <c r="B8" s="17" t="s">
        <v>49</v>
      </c>
      <c r="C8" s="1">
        <f>12*C4+1*C5+16*C6+14*C7</f>
        <v>49.599999999999994</v>
      </c>
      <c r="D8" s="1"/>
      <c r="E8" s="1">
        <f>12*E4+1*E5+16*E6+14*E7</f>
        <v>162</v>
      </c>
      <c r="F8" s="1"/>
      <c r="G8" s="1">
        <f>12*G4+1*G5+16*G6+14*G7</f>
        <v>884</v>
      </c>
      <c r="H8" s="1"/>
    </row>
    <row r="9" spans="1:16" x14ac:dyDescent="0.2">
      <c r="B9" s="3"/>
    </row>
    <row r="10" spans="1:16" x14ac:dyDescent="0.2">
      <c r="B10" s="15" t="s">
        <v>54</v>
      </c>
      <c r="C10" s="13">
        <f>Calculation_Sheet!I21</f>
        <v>0.498</v>
      </c>
      <c r="D10" s="13"/>
      <c r="E10" s="13">
        <f>Calculation_Sheet!J21</f>
        <v>0.16449999999999998</v>
      </c>
      <c r="F10" s="13"/>
      <c r="G10" s="13">
        <f>Calculation_Sheet!K21</f>
        <v>0.10300000000000001</v>
      </c>
      <c r="H10" s="13"/>
      <c r="I10" s="13">
        <f>C10+E10+G10</f>
        <v>0.76549999999999996</v>
      </c>
    </row>
    <row r="11" spans="1:16" x14ac:dyDescent="0.2">
      <c r="B11" s="15" t="s">
        <v>32</v>
      </c>
      <c r="C11" s="18">
        <f>C10/$I$10</f>
        <v>0.65055519268452</v>
      </c>
      <c r="D11" s="8"/>
      <c r="E11" s="18">
        <f>E10/$I$10</f>
        <v>0.21489222730241669</v>
      </c>
      <c r="F11" s="13"/>
      <c r="G11" s="18">
        <f>G10/$I$10</f>
        <v>0.13455258001306339</v>
      </c>
      <c r="H11" s="13"/>
      <c r="I11" s="13"/>
      <c r="K11" t="s">
        <v>53</v>
      </c>
    </row>
    <row r="12" spans="1:16" x14ac:dyDescent="0.2">
      <c r="B12" s="19" t="s">
        <v>31</v>
      </c>
      <c r="C12" s="8">
        <f>$D$4*$C$10</f>
        <v>0.22891935483870968</v>
      </c>
      <c r="D12" s="8"/>
      <c r="E12" s="13">
        <f>$F$4*$E$10</f>
        <v>7.3111111111111099E-2</v>
      </c>
      <c r="F12" s="13"/>
      <c r="G12" s="13">
        <f>$G$10*$H$4</f>
        <v>7.9696832579185528E-2</v>
      </c>
      <c r="H12" s="13"/>
      <c r="I12" s="13">
        <f>C12+E12+G12</f>
        <v>0.38172729852900628</v>
      </c>
      <c r="K12" s="14">
        <f>34.1*I12+102*I13+6.3*I15-9.85*I14</f>
        <v>17.130356170541923</v>
      </c>
    </row>
    <row r="13" spans="1:16" x14ac:dyDescent="0.2">
      <c r="B13" s="19" t="s">
        <v>30</v>
      </c>
      <c r="C13" s="8">
        <f>$D$5*$C$10</f>
        <v>3.8153225806451613E-2</v>
      </c>
      <c r="D13" s="8"/>
      <c r="E13" s="13">
        <f>$F$5*$E$10</f>
        <v>1.0154320987654319E-2</v>
      </c>
      <c r="F13" s="13"/>
      <c r="G13" s="13">
        <f>$G$10*$H$5</f>
        <v>1.211764705882353E-2</v>
      </c>
      <c r="H13" s="13"/>
      <c r="I13" s="13">
        <f t="shared" ref="I13:I15" si="0">C13+E13+G13</f>
        <v>6.0425193852929465E-2</v>
      </c>
    </row>
    <row r="14" spans="1:16" x14ac:dyDescent="0.2">
      <c r="B14" s="19" t="s">
        <v>28</v>
      </c>
      <c r="C14" s="8">
        <f>$D$6*$C$10</f>
        <v>0.16064516129032261</v>
      </c>
      <c r="D14" s="8"/>
      <c r="E14" s="13">
        <f>$F$6*$E$10</f>
        <v>8.1234567901234553E-2</v>
      </c>
      <c r="F14" s="13"/>
      <c r="G14" s="13">
        <f>$G$10*$H$6</f>
        <v>1.1185520361990952E-2</v>
      </c>
      <c r="H14" s="13"/>
      <c r="I14" s="13">
        <f t="shared" si="0"/>
        <v>0.25306524955354809</v>
      </c>
    </row>
    <row r="15" spans="1:16" x14ac:dyDescent="0.2">
      <c r="B15" s="19" t="s">
        <v>29</v>
      </c>
      <c r="C15" s="8">
        <f>$D$7*$C$10</f>
        <v>7.0282258064516129E-2</v>
      </c>
      <c r="D15" s="8"/>
      <c r="E15" s="13">
        <f>F7*$E$10</f>
        <v>0</v>
      </c>
      <c r="F15" s="13"/>
      <c r="G15" s="13">
        <f>$G$10*H7</f>
        <v>0</v>
      </c>
      <c r="H15" s="13"/>
      <c r="I15" s="13">
        <f t="shared" si="0"/>
        <v>7.0282258064516129E-2</v>
      </c>
      <c r="L15" s="7"/>
      <c r="M15" s="24"/>
      <c r="N15" s="24"/>
      <c r="O15" s="24"/>
      <c r="P15" s="24"/>
    </row>
    <row r="22" spans="2:4" x14ac:dyDescent="0.2">
      <c r="C22" s="1"/>
      <c r="D22" s="1"/>
    </row>
    <row r="23" spans="2:4" x14ac:dyDescent="0.2">
      <c r="B23"/>
    </row>
    <row r="24" spans="2:4" x14ac:dyDescent="0.2">
      <c r="B24"/>
    </row>
    <row r="25" spans="2:4" x14ac:dyDescent="0.2">
      <c r="B25"/>
    </row>
    <row r="26" spans="2:4" x14ac:dyDescent="0.2">
      <c r="B26"/>
    </row>
    <row r="27" spans="2:4" x14ac:dyDescent="0.2">
      <c r="B27"/>
    </row>
    <row r="28" spans="2:4" x14ac:dyDescent="0.2">
      <c r="B28"/>
    </row>
    <row r="29" spans="2:4" x14ac:dyDescent="0.2">
      <c r="B29"/>
    </row>
    <row r="30" spans="2:4" x14ac:dyDescent="0.2">
      <c r="B30"/>
    </row>
    <row r="31" spans="2:4" x14ac:dyDescent="0.2">
      <c r="B31"/>
    </row>
    <row r="32" spans="2:4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 s="4"/>
    </row>
    <row r="47" spans="2:2" x14ac:dyDescent="0.2">
      <c r="B47" s="4"/>
    </row>
    <row r="48" spans="2:2" x14ac:dyDescent="0.2">
      <c r="B48" s="4"/>
    </row>
    <row r="49" spans="2:2" x14ac:dyDescent="0.2">
      <c r="B49" s="4"/>
    </row>
    <row r="50" spans="2:2" x14ac:dyDescent="0.2">
      <c r="B50" s="4"/>
    </row>
    <row r="51" spans="2:2" x14ac:dyDescent="0.2">
      <c r="B51" s="4"/>
    </row>
    <row r="52" spans="2:2" x14ac:dyDescent="0.2">
      <c r="B52" s="4"/>
    </row>
    <row r="53" spans="2:2" x14ac:dyDescent="0.2">
      <c r="B53" s="4"/>
    </row>
    <row r="54" spans="2:2" x14ac:dyDescent="0.2">
      <c r="B54" s="4"/>
    </row>
    <row r="55" spans="2:2" x14ac:dyDescent="0.2">
      <c r="B55" s="4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</sheetData>
  <mergeCells count="5">
    <mergeCell ref="C3:D3"/>
    <mergeCell ref="E3:F3"/>
    <mergeCell ref="G3:H3"/>
    <mergeCell ref="M15:N15"/>
    <mergeCell ref="O15:P1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19A17-7149-4FDE-897B-30C2558EB42F}">
  <dimension ref="A1:P63"/>
  <sheetViews>
    <sheetView zoomScale="90" zoomScaleNormal="90" workbookViewId="0">
      <selection activeCell="L26" sqref="L26"/>
    </sheetView>
  </sheetViews>
  <sheetFormatPr baseColWidth="10" defaultColWidth="8.83203125" defaultRowHeight="15" x14ac:dyDescent="0.2"/>
  <cols>
    <col min="2" max="2" width="25.1640625" style="2" customWidth="1"/>
    <col min="4" max="4" width="10.83203125" customWidth="1"/>
  </cols>
  <sheetData>
    <row r="1" spans="1:16" x14ac:dyDescent="0.2">
      <c r="B1" s="15"/>
      <c r="C1" s="13"/>
    </row>
    <row r="2" spans="1:16" x14ac:dyDescent="0.2">
      <c r="B2" s="2" t="s">
        <v>16</v>
      </c>
      <c r="C2">
        <v>22.414000000000001</v>
      </c>
      <c r="D2" t="s">
        <v>12</v>
      </c>
    </row>
    <row r="3" spans="1:16" x14ac:dyDescent="0.2">
      <c r="C3" s="24" t="s">
        <v>13</v>
      </c>
      <c r="D3" s="24"/>
      <c r="E3" s="24" t="s">
        <v>14</v>
      </c>
      <c r="F3" s="24"/>
      <c r="G3" s="24" t="s">
        <v>15</v>
      </c>
      <c r="H3" s="24"/>
    </row>
    <row r="4" spans="1:16" x14ac:dyDescent="0.2">
      <c r="A4" t="s">
        <v>31</v>
      </c>
      <c r="B4" s="17" t="s">
        <v>0</v>
      </c>
      <c r="C4" s="1">
        <v>1.9</v>
      </c>
      <c r="D4" s="1">
        <f>C4*12/$C$8</f>
        <v>0.45967741935483869</v>
      </c>
      <c r="E4" s="1">
        <v>6</v>
      </c>
      <c r="F4" s="1">
        <f>E4*12/$E$8</f>
        <v>0.44444444444444442</v>
      </c>
      <c r="G4" s="1">
        <v>57</v>
      </c>
      <c r="H4" s="1">
        <f>G4*12/$G$8</f>
        <v>0.77375565610859731</v>
      </c>
    </row>
    <row r="5" spans="1:16" x14ac:dyDescent="0.2">
      <c r="A5" t="s">
        <v>30</v>
      </c>
      <c r="B5" s="17" t="s">
        <v>1</v>
      </c>
      <c r="C5" s="1">
        <v>3.8</v>
      </c>
      <c r="D5" s="1">
        <f>C5*1/$C$8</f>
        <v>7.6612903225806453E-2</v>
      </c>
      <c r="E5" s="1">
        <v>10</v>
      </c>
      <c r="F5" s="1">
        <f>E5*1/$E$8</f>
        <v>6.1728395061728392E-2</v>
      </c>
      <c r="G5" s="1">
        <v>104</v>
      </c>
      <c r="H5" s="1">
        <f>G5*1/$G$8</f>
        <v>0.11764705882352941</v>
      </c>
    </row>
    <row r="6" spans="1:16" x14ac:dyDescent="0.2">
      <c r="A6" t="s">
        <v>28</v>
      </c>
      <c r="B6" s="17" t="s">
        <v>2</v>
      </c>
      <c r="C6" s="1">
        <v>1</v>
      </c>
      <c r="D6" s="1">
        <f>C6*16/$C$8</f>
        <v>0.32258064516129037</v>
      </c>
      <c r="E6" s="1">
        <v>5</v>
      </c>
      <c r="F6" s="1">
        <f>E6*16/$E$8</f>
        <v>0.49382716049382713</v>
      </c>
      <c r="G6" s="1">
        <v>6</v>
      </c>
      <c r="H6" s="1">
        <f>G6*16/$G$8</f>
        <v>0.10859728506787331</v>
      </c>
    </row>
    <row r="7" spans="1:16" x14ac:dyDescent="0.2">
      <c r="A7" t="s">
        <v>29</v>
      </c>
      <c r="B7" s="17" t="s">
        <v>3</v>
      </c>
      <c r="C7" s="1">
        <v>0.5</v>
      </c>
      <c r="D7" s="1">
        <f>C7*14/$C$8</f>
        <v>0.14112903225806453</v>
      </c>
      <c r="E7" s="1">
        <v>0</v>
      </c>
      <c r="F7" s="1">
        <f>E7*14/$E$8</f>
        <v>0</v>
      </c>
      <c r="G7" s="1">
        <v>0</v>
      </c>
      <c r="H7" s="1">
        <f>G7*14/$G$8</f>
        <v>0</v>
      </c>
    </row>
    <row r="8" spans="1:16" x14ac:dyDescent="0.2">
      <c r="B8" s="17" t="s">
        <v>49</v>
      </c>
      <c r="C8" s="1">
        <f>12*C4+1*C5+16*C6+14*C7</f>
        <v>49.599999999999994</v>
      </c>
      <c r="D8" s="1"/>
      <c r="E8" s="1">
        <f>12*E4+1*E5+16*E6+14*E7</f>
        <v>162</v>
      </c>
      <c r="F8" s="1"/>
      <c r="G8" s="1">
        <f>12*G4+1*G5+16*G6+14*G7</f>
        <v>884</v>
      </c>
      <c r="H8" s="1"/>
    </row>
    <row r="9" spans="1:16" x14ac:dyDescent="0.2">
      <c r="B9" s="3"/>
    </row>
    <row r="10" spans="1:16" x14ac:dyDescent="0.2">
      <c r="B10" s="15" t="s">
        <v>54</v>
      </c>
      <c r="C10" s="13">
        <f>Calculation_Sheet!I22</f>
        <v>0.22</v>
      </c>
      <c r="D10" s="13"/>
      <c r="E10" s="13">
        <f>Calculation_Sheet!J22</f>
        <v>0.14099999999999999</v>
      </c>
      <c r="F10" s="13"/>
      <c r="G10" s="13">
        <f>Calculation_Sheet!K22</f>
        <v>0.19750000000000001</v>
      </c>
      <c r="H10" s="13"/>
      <c r="I10" s="13">
        <f>C10+E10+G10</f>
        <v>0.5585</v>
      </c>
    </row>
    <row r="11" spans="1:16" x14ac:dyDescent="0.2">
      <c r="B11" s="15" t="s">
        <v>32</v>
      </c>
      <c r="C11" s="18">
        <f>C10/$I$10</f>
        <v>0.39391226499552373</v>
      </c>
      <c r="D11" s="8"/>
      <c r="E11" s="18">
        <f>E10/$I$10</f>
        <v>0.25246195165622198</v>
      </c>
      <c r="F11" s="13"/>
      <c r="G11" s="18">
        <f>G10/$I$10</f>
        <v>0.35362578334825429</v>
      </c>
      <c r="H11" s="13"/>
      <c r="I11" s="13"/>
      <c r="K11" t="s">
        <v>53</v>
      </c>
    </row>
    <row r="12" spans="1:16" x14ac:dyDescent="0.2">
      <c r="B12" s="19" t="s">
        <v>31</v>
      </c>
      <c r="C12" s="8">
        <f>$D$4*$C$10</f>
        <v>0.10112903225806451</v>
      </c>
      <c r="D12" s="8"/>
      <c r="E12" s="13">
        <f>$F$4*$E$10</f>
        <v>6.2666666666666662E-2</v>
      </c>
      <c r="F12" s="13"/>
      <c r="G12" s="13">
        <f>$G$10*$H$4</f>
        <v>0.15281674208144796</v>
      </c>
      <c r="H12" s="13"/>
      <c r="I12" s="13">
        <f>C12+E12+G12</f>
        <v>0.31661244100617913</v>
      </c>
      <c r="K12" s="14">
        <f>34.1*I12+102*I13+6.3*I15-9.85*I14</f>
        <v>14.372913849829979</v>
      </c>
    </row>
    <row r="13" spans="1:16" x14ac:dyDescent="0.2">
      <c r="B13" s="19" t="s">
        <v>30</v>
      </c>
      <c r="C13" s="8">
        <f>$D$5*$C$10</f>
        <v>1.6854838709677421E-2</v>
      </c>
      <c r="D13" s="8"/>
      <c r="E13" s="13">
        <f>$F$5*$E$10</f>
        <v>8.7037037037037031E-3</v>
      </c>
      <c r="F13" s="13"/>
      <c r="G13" s="13">
        <f>$G$10*$H$5</f>
        <v>2.3235294117647059E-2</v>
      </c>
      <c r="H13" s="13"/>
      <c r="I13" s="13">
        <f t="shared" ref="I13:I15" si="0">C13+E13+G13</f>
        <v>4.8793836531028187E-2</v>
      </c>
    </row>
    <row r="14" spans="1:16" x14ac:dyDescent="0.2">
      <c r="B14" s="19" t="s">
        <v>28</v>
      </c>
      <c r="C14" s="8">
        <f>$D$6*$C$10</f>
        <v>7.0967741935483886E-2</v>
      </c>
      <c r="D14" s="8"/>
      <c r="E14" s="13">
        <f>$F$6*$E$10</f>
        <v>6.9629629629629625E-2</v>
      </c>
      <c r="F14" s="13"/>
      <c r="G14" s="13">
        <f>$G$10*$H$6</f>
        <v>2.1447963800904978E-2</v>
      </c>
      <c r="H14" s="13"/>
      <c r="I14" s="13">
        <f t="shared" si="0"/>
        <v>0.16204533536601848</v>
      </c>
    </row>
    <row r="15" spans="1:16" x14ac:dyDescent="0.2">
      <c r="B15" s="19" t="s">
        <v>29</v>
      </c>
      <c r="C15" s="8">
        <f>$D$7*$C$10</f>
        <v>3.1048387096774197E-2</v>
      </c>
      <c r="D15" s="8"/>
      <c r="E15" s="13">
        <f>F7*$E$10</f>
        <v>0</v>
      </c>
      <c r="F15" s="13"/>
      <c r="G15" s="13">
        <f>$G$10*H7</f>
        <v>0</v>
      </c>
      <c r="H15" s="13"/>
      <c r="I15" s="13">
        <f t="shared" si="0"/>
        <v>3.1048387096774197E-2</v>
      </c>
      <c r="L15" s="7"/>
      <c r="M15" s="24"/>
      <c r="N15" s="24"/>
      <c r="O15" s="24"/>
      <c r="P15" s="24"/>
    </row>
    <row r="22" spans="2:4" x14ac:dyDescent="0.2">
      <c r="C22" s="1"/>
      <c r="D22" s="1"/>
    </row>
    <row r="23" spans="2:4" x14ac:dyDescent="0.2">
      <c r="B23"/>
    </row>
    <row r="24" spans="2:4" x14ac:dyDescent="0.2">
      <c r="B24"/>
    </row>
    <row r="25" spans="2:4" x14ac:dyDescent="0.2">
      <c r="B25"/>
    </row>
    <row r="26" spans="2:4" x14ac:dyDescent="0.2">
      <c r="B26"/>
    </row>
    <row r="27" spans="2:4" x14ac:dyDescent="0.2">
      <c r="B27"/>
    </row>
    <row r="28" spans="2:4" x14ac:dyDescent="0.2">
      <c r="B28"/>
    </row>
    <row r="29" spans="2:4" x14ac:dyDescent="0.2">
      <c r="B29"/>
    </row>
    <row r="30" spans="2:4" x14ac:dyDescent="0.2">
      <c r="B30"/>
    </row>
    <row r="31" spans="2:4" x14ac:dyDescent="0.2">
      <c r="B31"/>
    </row>
    <row r="32" spans="2:4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 s="4"/>
    </row>
    <row r="47" spans="2:2" x14ac:dyDescent="0.2">
      <c r="B47" s="4"/>
    </row>
    <row r="48" spans="2:2" x14ac:dyDescent="0.2">
      <c r="B48" s="4"/>
    </row>
    <row r="49" spans="2:2" x14ac:dyDescent="0.2">
      <c r="B49" s="4"/>
    </row>
    <row r="50" spans="2:2" x14ac:dyDescent="0.2">
      <c r="B50" s="4"/>
    </row>
    <row r="51" spans="2:2" x14ac:dyDescent="0.2">
      <c r="B51" s="4"/>
    </row>
    <row r="52" spans="2:2" x14ac:dyDescent="0.2">
      <c r="B52" s="4"/>
    </row>
    <row r="53" spans="2:2" x14ac:dyDescent="0.2">
      <c r="B53" s="4"/>
    </row>
    <row r="54" spans="2:2" x14ac:dyDescent="0.2">
      <c r="B54" s="4"/>
    </row>
    <row r="55" spans="2:2" x14ac:dyDescent="0.2">
      <c r="B55" s="4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</sheetData>
  <mergeCells count="5">
    <mergeCell ref="C3:D3"/>
    <mergeCell ref="E3:F3"/>
    <mergeCell ref="G3:H3"/>
    <mergeCell ref="M15:N15"/>
    <mergeCell ref="O15:P1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162D9-C864-492A-B346-06A15B0CA1DC}">
  <dimension ref="A1:P63"/>
  <sheetViews>
    <sheetView zoomScale="90" zoomScaleNormal="90" workbookViewId="0">
      <selection activeCell="M22" sqref="M22"/>
    </sheetView>
  </sheetViews>
  <sheetFormatPr baseColWidth="10" defaultColWidth="8.83203125" defaultRowHeight="15" x14ac:dyDescent="0.2"/>
  <cols>
    <col min="2" max="2" width="25.1640625" style="2" customWidth="1"/>
    <col min="4" max="4" width="10.83203125" customWidth="1"/>
  </cols>
  <sheetData>
    <row r="1" spans="1:16" x14ac:dyDescent="0.2">
      <c r="B1" s="15"/>
      <c r="C1" s="13"/>
    </row>
    <row r="2" spans="1:16" x14ac:dyDescent="0.2">
      <c r="B2" s="2" t="s">
        <v>16</v>
      </c>
      <c r="C2">
        <v>22.414000000000001</v>
      </c>
      <c r="D2" t="s">
        <v>12</v>
      </c>
    </row>
    <row r="3" spans="1:16" x14ac:dyDescent="0.2">
      <c r="C3" s="24" t="s">
        <v>13</v>
      </c>
      <c r="D3" s="24"/>
      <c r="E3" s="24" t="s">
        <v>14</v>
      </c>
      <c r="F3" s="24"/>
      <c r="G3" s="24" t="s">
        <v>15</v>
      </c>
      <c r="H3" s="24"/>
    </row>
    <row r="4" spans="1:16" x14ac:dyDescent="0.2">
      <c r="A4" t="s">
        <v>31</v>
      </c>
      <c r="B4" s="17" t="s">
        <v>0</v>
      </c>
      <c r="C4" s="1">
        <v>1.9</v>
      </c>
      <c r="D4" s="1">
        <f>C4*12/$C$8</f>
        <v>0.45967741935483869</v>
      </c>
      <c r="E4" s="1">
        <v>6</v>
      </c>
      <c r="F4" s="1">
        <f>E4*12/$E$8</f>
        <v>0.44444444444444442</v>
      </c>
      <c r="G4" s="1">
        <v>57</v>
      </c>
      <c r="H4" s="1">
        <f>G4*12/$G$8</f>
        <v>0.77375565610859731</v>
      </c>
    </row>
    <row r="5" spans="1:16" x14ac:dyDescent="0.2">
      <c r="A5" t="s">
        <v>30</v>
      </c>
      <c r="B5" s="17" t="s">
        <v>1</v>
      </c>
      <c r="C5" s="1">
        <v>3.8</v>
      </c>
      <c r="D5" s="1">
        <f>C5*1/$C$8</f>
        <v>7.6612903225806453E-2</v>
      </c>
      <c r="E5" s="1">
        <v>10</v>
      </c>
      <c r="F5" s="1">
        <f>E5*1/$E$8</f>
        <v>6.1728395061728392E-2</v>
      </c>
      <c r="G5" s="1">
        <v>104</v>
      </c>
      <c r="H5" s="1">
        <f>G5*1/$G$8</f>
        <v>0.11764705882352941</v>
      </c>
    </row>
    <row r="6" spans="1:16" x14ac:dyDescent="0.2">
      <c r="A6" t="s">
        <v>28</v>
      </c>
      <c r="B6" s="17" t="s">
        <v>2</v>
      </c>
      <c r="C6" s="1">
        <v>1</v>
      </c>
      <c r="D6" s="1">
        <f>C6*16/$C$8</f>
        <v>0.32258064516129037</v>
      </c>
      <c r="E6" s="1">
        <v>5</v>
      </c>
      <c r="F6" s="1">
        <f>E6*16/$E$8</f>
        <v>0.49382716049382713</v>
      </c>
      <c r="G6" s="1">
        <v>6</v>
      </c>
      <c r="H6" s="1">
        <f>G6*16/$G$8</f>
        <v>0.10859728506787331</v>
      </c>
    </row>
    <row r="7" spans="1:16" x14ac:dyDescent="0.2">
      <c r="A7" t="s">
        <v>29</v>
      </c>
      <c r="B7" s="17" t="s">
        <v>3</v>
      </c>
      <c r="C7" s="1">
        <v>0.5</v>
      </c>
      <c r="D7" s="1">
        <f>C7*14/$C$8</f>
        <v>0.14112903225806453</v>
      </c>
      <c r="E7" s="1">
        <v>0</v>
      </c>
      <c r="F7" s="1">
        <f>E7*14/$E$8</f>
        <v>0</v>
      </c>
      <c r="G7" s="1">
        <v>0</v>
      </c>
      <c r="H7" s="1">
        <f>G7*14/$G$8</f>
        <v>0</v>
      </c>
    </row>
    <row r="8" spans="1:16" x14ac:dyDescent="0.2">
      <c r="B8" s="17" t="s">
        <v>49</v>
      </c>
      <c r="C8" s="1">
        <f>12*C4+1*C5+16*C6+14*C7</f>
        <v>49.599999999999994</v>
      </c>
      <c r="D8" s="1"/>
      <c r="E8" s="1">
        <f>12*E4+1*E5+16*E6+14*E7</f>
        <v>162</v>
      </c>
      <c r="F8" s="1"/>
      <c r="G8" s="1">
        <f>12*G4+1*G5+16*G6+14*G7</f>
        <v>884</v>
      </c>
      <c r="H8" s="1"/>
    </row>
    <row r="9" spans="1:16" x14ac:dyDescent="0.2">
      <c r="B9" s="3"/>
    </row>
    <row r="10" spans="1:16" x14ac:dyDescent="0.2">
      <c r="B10" s="15" t="s">
        <v>54</v>
      </c>
      <c r="C10" s="13">
        <f>Calculation_Sheet!I23</f>
        <v>0.48</v>
      </c>
      <c r="D10" s="13"/>
      <c r="E10" s="13">
        <f>Calculation_Sheet!J23</f>
        <v>0.17</v>
      </c>
      <c r="F10" s="13"/>
      <c r="G10" s="13">
        <f>Calculation_Sheet!K23</f>
        <v>0.20950000000000002</v>
      </c>
      <c r="H10" s="13"/>
      <c r="I10" s="13">
        <f>C10+E10+G10</f>
        <v>0.85950000000000004</v>
      </c>
    </row>
    <row r="11" spans="1:16" x14ac:dyDescent="0.2">
      <c r="B11" s="15" t="s">
        <v>32</v>
      </c>
      <c r="C11" s="18">
        <f>C10/$I$10</f>
        <v>0.55846422338568935</v>
      </c>
      <c r="D11" s="8"/>
      <c r="E11" s="18">
        <f>E10/$I$10</f>
        <v>0.19778941244909831</v>
      </c>
      <c r="F11" s="13"/>
      <c r="G11" s="18">
        <f>G10/$I$10</f>
        <v>0.24374636416521234</v>
      </c>
      <c r="H11" s="13"/>
      <c r="I11" s="13"/>
      <c r="K11" t="s">
        <v>53</v>
      </c>
    </row>
    <row r="12" spans="1:16" x14ac:dyDescent="0.2">
      <c r="B12" s="19" t="s">
        <v>31</v>
      </c>
      <c r="C12" s="8">
        <f>$D$4*$C$10</f>
        <v>0.22064516129032255</v>
      </c>
      <c r="D12" s="8"/>
      <c r="E12" s="13">
        <f>$F$4*$E$10</f>
        <v>7.5555555555555556E-2</v>
      </c>
      <c r="F12" s="13"/>
      <c r="G12" s="13">
        <f>$G$10*$H$4</f>
        <v>0.16210180995475115</v>
      </c>
      <c r="H12" s="13"/>
      <c r="I12" s="13">
        <f>C12+E12+G12</f>
        <v>0.45830252680062927</v>
      </c>
      <c r="K12" s="14">
        <f>34.1*I12+102*I13+6.3*I15-9.85*I14</f>
        <v>20.814054956652267</v>
      </c>
    </row>
    <row r="13" spans="1:16" x14ac:dyDescent="0.2">
      <c r="B13" s="19" t="s">
        <v>30</v>
      </c>
      <c r="C13" s="8">
        <f>$D$5*$C$10</f>
        <v>3.6774193548387096E-2</v>
      </c>
      <c r="D13" s="8"/>
      <c r="E13" s="13">
        <f>$F$5*$E$10</f>
        <v>1.0493827160493827E-2</v>
      </c>
      <c r="F13" s="13"/>
      <c r="G13" s="13">
        <f>$G$10*$H$5</f>
        <v>2.4647058823529414E-2</v>
      </c>
      <c r="H13" s="13"/>
      <c r="I13" s="13">
        <f t="shared" ref="I13:I15" si="0">C13+E13+G13</f>
        <v>7.1915079532410331E-2</v>
      </c>
    </row>
    <row r="14" spans="1:16" x14ac:dyDescent="0.2">
      <c r="B14" s="19" t="s">
        <v>28</v>
      </c>
      <c r="C14" s="8">
        <f>$D$6*$C$10</f>
        <v>0.15483870967741936</v>
      </c>
      <c r="D14" s="8"/>
      <c r="E14" s="13">
        <f>$F$6*$E$10</f>
        <v>8.3950617283950618E-2</v>
      </c>
      <c r="F14" s="13"/>
      <c r="G14" s="13">
        <f>$G$10*$H$6</f>
        <v>2.275113122171946E-2</v>
      </c>
      <c r="H14" s="13"/>
      <c r="I14" s="13">
        <f t="shared" si="0"/>
        <v>0.26154045818308946</v>
      </c>
    </row>
    <row r="15" spans="1:16" x14ac:dyDescent="0.2">
      <c r="B15" s="19" t="s">
        <v>29</v>
      </c>
      <c r="C15" s="8">
        <f>$D$7*$C$10</f>
        <v>6.7741935483870974E-2</v>
      </c>
      <c r="D15" s="8"/>
      <c r="E15" s="13">
        <f>F7*$E$10</f>
        <v>0</v>
      </c>
      <c r="F15" s="13"/>
      <c r="G15" s="13">
        <f>$G$10*H7</f>
        <v>0</v>
      </c>
      <c r="H15" s="13"/>
      <c r="I15" s="13">
        <f t="shared" si="0"/>
        <v>6.7741935483870974E-2</v>
      </c>
      <c r="L15" s="7"/>
      <c r="M15" s="24"/>
      <c r="N15" s="24"/>
      <c r="O15" s="24"/>
      <c r="P15" s="24"/>
    </row>
    <row r="22" spans="2:4" x14ac:dyDescent="0.2">
      <c r="C22" s="1"/>
      <c r="D22" s="1"/>
    </row>
    <row r="23" spans="2:4" x14ac:dyDescent="0.2">
      <c r="B23"/>
    </row>
    <row r="24" spans="2:4" x14ac:dyDescent="0.2">
      <c r="B24"/>
    </row>
    <row r="25" spans="2:4" x14ac:dyDescent="0.2">
      <c r="B25"/>
    </row>
    <row r="26" spans="2:4" x14ac:dyDescent="0.2">
      <c r="B26"/>
    </row>
    <row r="27" spans="2:4" x14ac:dyDescent="0.2">
      <c r="B27"/>
    </row>
    <row r="28" spans="2:4" x14ac:dyDescent="0.2">
      <c r="B28"/>
    </row>
    <row r="29" spans="2:4" x14ac:dyDescent="0.2">
      <c r="B29"/>
    </row>
    <row r="30" spans="2:4" x14ac:dyDescent="0.2">
      <c r="B30"/>
    </row>
    <row r="31" spans="2:4" x14ac:dyDescent="0.2">
      <c r="B31"/>
    </row>
    <row r="32" spans="2:4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 s="4"/>
    </row>
    <row r="47" spans="2:2" x14ac:dyDescent="0.2">
      <c r="B47" s="4"/>
    </row>
    <row r="48" spans="2:2" x14ac:dyDescent="0.2">
      <c r="B48" s="4"/>
    </row>
    <row r="49" spans="2:2" x14ac:dyDescent="0.2">
      <c r="B49" s="4"/>
    </row>
    <row r="50" spans="2:2" x14ac:dyDescent="0.2">
      <c r="B50" s="4"/>
    </row>
    <row r="51" spans="2:2" x14ac:dyDescent="0.2">
      <c r="B51" s="4"/>
    </row>
    <row r="52" spans="2:2" x14ac:dyDescent="0.2">
      <c r="B52" s="4"/>
    </row>
    <row r="53" spans="2:2" x14ac:dyDescent="0.2">
      <c r="B53" s="4"/>
    </row>
    <row r="54" spans="2:2" x14ac:dyDescent="0.2">
      <c r="B54" s="4"/>
    </row>
    <row r="55" spans="2:2" x14ac:dyDescent="0.2">
      <c r="B55" s="4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</sheetData>
  <mergeCells count="5">
    <mergeCell ref="C3:D3"/>
    <mergeCell ref="E3:F3"/>
    <mergeCell ref="G3:H3"/>
    <mergeCell ref="M15:N15"/>
    <mergeCell ref="O15:P1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7A772-6A3E-4274-B75D-85BBE9C5717C}">
  <dimension ref="A1:P63"/>
  <sheetViews>
    <sheetView zoomScale="90" zoomScaleNormal="90" workbookViewId="0">
      <selection activeCell="N23" sqref="N23"/>
    </sheetView>
  </sheetViews>
  <sheetFormatPr baseColWidth="10" defaultColWidth="8.83203125" defaultRowHeight="15" x14ac:dyDescent="0.2"/>
  <cols>
    <col min="2" max="2" width="25.1640625" style="2" customWidth="1"/>
    <col min="4" max="4" width="10.83203125" customWidth="1"/>
  </cols>
  <sheetData>
    <row r="1" spans="1:16" x14ac:dyDescent="0.2">
      <c r="B1" s="15"/>
      <c r="C1" s="13"/>
    </row>
    <row r="2" spans="1:16" x14ac:dyDescent="0.2">
      <c r="B2" s="2" t="s">
        <v>16</v>
      </c>
      <c r="C2">
        <v>22.414000000000001</v>
      </c>
      <c r="D2" t="s">
        <v>12</v>
      </c>
    </row>
    <row r="3" spans="1:16" x14ac:dyDescent="0.2">
      <c r="C3" s="24" t="s">
        <v>13</v>
      </c>
      <c r="D3" s="24"/>
      <c r="E3" s="24" t="s">
        <v>14</v>
      </c>
      <c r="F3" s="24"/>
      <c r="G3" s="24" t="s">
        <v>15</v>
      </c>
      <c r="H3" s="24"/>
    </row>
    <row r="4" spans="1:16" x14ac:dyDescent="0.2">
      <c r="A4" t="s">
        <v>31</v>
      </c>
      <c r="B4" s="17" t="s">
        <v>0</v>
      </c>
      <c r="C4" s="1">
        <v>1.9</v>
      </c>
      <c r="D4" s="1">
        <f>C4*12/$C$8</f>
        <v>0.45967741935483869</v>
      </c>
      <c r="E4" s="1">
        <v>6</v>
      </c>
      <c r="F4" s="1">
        <f>E4*12/$E$8</f>
        <v>0.44444444444444442</v>
      </c>
      <c r="G4" s="1">
        <v>57</v>
      </c>
      <c r="H4" s="1">
        <f>G4*12/$G$8</f>
        <v>0.77375565610859731</v>
      </c>
    </row>
    <row r="5" spans="1:16" x14ac:dyDescent="0.2">
      <c r="A5" t="s">
        <v>30</v>
      </c>
      <c r="B5" s="17" t="s">
        <v>1</v>
      </c>
      <c r="C5" s="1">
        <v>3.8</v>
      </c>
      <c r="D5" s="1">
        <f>C5*1/$C$8</f>
        <v>7.6612903225806453E-2</v>
      </c>
      <c r="E5" s="1">
        <v>10</v>
      </c>
      <c r="F5" s="1">
        <f>E5*1/$E$8</f>
        <v>6.1728395061728392E-2</v>
      </c>
      <c r="G5" s="1">
        <v>104</v>
      </c>
      <c r="H5" s="1">
        <f>G5*1/$G$8</f>
        <v>0.11764705882352941</v>
      </c>
    </row>
    <row r="6" spans="1:16" x14ac:dyDescent="0.2">
      <c r="A6" t="s">
        <v>28</v>
      </c>
      <c r="B6" s="17" t="s">
        <v>2</v>
      </c>
      <c r="C6" s="1">
        <v>1</v>
      </c>
      <c r="D6" s="1">
        <f>C6*16/$C$8</f>
        <v>0.32258064516129037</v>
      </c>
      <c r="E6" s="1">
        <v>5</v>
      </c>
      <c r="F6" s="1">
        <f>E6*16/$E$8</f>
        <v>0.49382716049382713</v>
      </c>
      <c r="G6" s="1">
        <v>6</v>
      </c>
      <c r="H6" s="1">
        <f>G6*16/$G$8</f>
        <v>0.10859728506787331</v>
      </c>
    </row>
    <row r="7" spans="1:16" x14ac:dyDescent="0.2">
      <c r="A7" t="s">
        <v>29</v>
      </c>
      <c r="B7" s="17" t="s">
        <v>3</v>
      </c>
      <c r="C7" s="1">
        <v>0.5</v>
      </c>
      <c r="D7" s="1">
        <f>C7*14/$C$8</f>
        <v>0.14112903225806453</v>
      </c>
      <c r="E7" s="1">
        <v>0</v>
      </c>
      <c r="F7" s="1">
        <f>E7*14/$E$8</f>
        <v>0</v>
      </c>
      <c r="G7" s="1">
        <v>0</v>
      </c>
      <c r="H7" s="1">
        <f>G7*14/$G$8</f>
        <v>0</v>
      </c>
    </row>
    <row r="8" spans="1:16" x14ac:dyDescent="0.2">
      <c r="B8" s="17" t="s">
        <v>49</v>
      </c>
      <c r="C8" s="1">
        <f>12*C4+1*C5+16*C6+14*C7</f>
        <v>49.599999999999994</v>
      </c>
      <c r="D8" s="1"/>
      <c r="E8" s="1">
        <f>12*E4+1*E5+16*E6+14*E7</f>
        <v>162</v>
      </c>
      <c r="F8" s="1"/>
      <c r="G8" s="1">
        <f>12*G4+1*G5+16*G6+14*G7</f>
        <v>884</v>
      </c>
      <c r="H8" s="1"/>
    </row>
    <row r="9" spans="1:16" x14ac:dyDescent="0.2">
      <c r="B9" s="3"/>
    </row>
    <row r="10" spans="1:16" x14ac:dyDescent="0.2">
      <c r="B10" s="15" t="s">
        <v>54</v>
      </c>
      <c r="C10" s="13">
        <f>Calculation_Sheet!I24</f>
        <v>0.54500000000000004</v>
      </c>
      <c r="D10" s="13"/>
      <c r="E10" s="13">
        <f>Calculation_Sheet!J24</f>
        <v>0.14499999999999999</v>
      </c>
      <c r="F10" s="13"/>
      <c r="G10" s="13">
        <f>Calculation_Sheet!K24</f>
        <v>0.28999999999999998</v>
      </c>
      <c r="H10" s="13"/>
      <c r="I10" s="13">
        <f>C10+E10+G10</f>
        <v>0.98</v>
      </c>
    </row>
    <row r="11" spans="1:16" x14ac:dyDescent="0.2">
      <c r="B11" s="15" t="s">
        <v>32</v>
      </c>
      <c r="C11" s="18">
        <f>C10/$I$10</f>
        <v>0.55612244897959184</v>
      </c>
      <c r="D11" s="8"/>
      <c r="E11" s="18">
        <f>E10/$I$10</f>
        <v>0.14795918367346939</v>
      </c>
      <c r="F11" s="13"/>
      <c r="G11" s="18">
        <f>G10/$I$10</f>
        <v>0.29591836734693877</v>
      </c>
      <c r="H11" s="13"/>
      <c r="I11" s="13"/>
      <c r="K11" t="s">
        <v>53</v>
      </c>
    </row>
    <row r="12" spans="1:16" x14ac:dyDescent="0.2">
      <c r="B12" s="19" t="s">
        <v>31</v>
      </c>
      <c r="C12" s="8">
        <f>$D$4*$C$10</f>
        <v>0.25052419354838712</v>
      </c>
      <c r="D12" s="8"/>
      <c r="E12" s="13">
        <f>$F$4*$E$10</f>
        <v>6.4444444444444443E-2</v>
      </c>
      <c r="F12" s="13"/>
      <c r="G12" s="13">
        <f>$G$10*$H$4</f>
        <v>0.2243891402714932</v>
      </c>
      <c r="H12" s="13"/>
      <c r="I12" s="13">
        <f>C12+E12+G12</f>
        <v>0.53935777826432485</v>
      </c>
      <c r="K12" s="14">
        <f>34.1*I12+102*I13+6.3*I15-9.85*I14</f>
        <v>24.781330689198295</v>
      </c>
    </row>
    <row r="13" spans="1:16" x14ac:dyDescent="0.2">
      <c r="B13" s="19" t="s">
        <v>30</v>
      </c>
      <c r="C13" s="8">
        <f>$D$5*$C$10</f>
        <v>4.1754032258064518E-2</v>
      </c>
      <c r="D13" s="8"/>
      <c r="E13" s="13">
        <f>$F$5*$E$10</f>
        <v>8.9506172839506157E-3</v>
      </c>
      <c r="F13" s="13"/>
      <c r="G13" s="13">
        <f>$G$10*$H$5</f>
        <v>3.4117647058823523E-2</v>
      </c>
      <c r="H13" s="13"/>
      <c r="I13" s="13">
        <f t="shared" ref="I13:I15" si="0">C13+E13+G13</f>
        <v>8.4822296600838648E-2</v>
      </c>
    </row>
    <row r="14" spans="1:16" x14ac:dyDescent="0.2">
      <c r="B14" s="19" t="s">
        <v>28</v>
      </c>
      <c r="C14" s="8">
        <f>$D$6*$C$10</f>
        <v>0.17580645161290326</v>
      </c>
      <c r="D14" s="8"/>
      <c r="E14" s="13">
        <f>$F$6*$E$10</f>
        <v>7.1604938271604926E-2</v>
      </c>
      <c r="F14" s="13"/>
      <c r="G14" s="13">
        <f>$G$10*$H$6</f>
        <v>3.149321266968326E-2</v>
      </c>
      <c r="H14" s="13"/>
      <c r="I14" s="13">
        <f t="shared" si="0"/>
        <v>0.27890460255419142</v>
      </c>
    </row>
    <row r="15" spans="1:16" x14ac:dyDescent="0.2">
      <c r="B15" s="19" t="s">
        <v>29</v>
      </c>
      <c r="C15" s="8">
        <f>$D$7*$C$10</f>
        <v>7.6915322580645179E-2</v>
      </c>
      <c r="D15" s="8"/>
      <c r="E15" s="13">
        <f>F7*$E$10</f>
        <v>0</v>
      </c>
      <c r="F15" s="13"/>
      <c r="G15" s="13">
        <f>$G$10*H7</f>
        <v>0</v>
      </c>
      <c r="H15" s="13"/>
      <c r="I15" s="13">
        <f t="shared" si="0"/>
        <v>7.6915322580645179E-2</v>
      </c>
      <c r="L15" s="7"/>
      <c r="M15" s="24"/>
      <c r="N15" s="24"/>
      <c r="O15" s="24"/>
      <c r="P15" s="24"/>
    </row>
    <row r="22" spans="2:4" x14ac:dyDescent="0.2">
      <c r="C22" s="1"/>
      <c r="D22" s="1"/>
    </row>
    <row r="23" spans="2:4" x14ac:dyDescent="0.2">
      <c r="B23"/>
    </row>
    <row r="24" spans="2:4" x14ac:dyDescent="0.2">
      <c r="B24"/>
    </row>
    <row r="25" spans="2:4" x14ac:dyDescent="0.2">
      <c r="B25"/>
    </row>
    <row r="26" spans="2:4" x14ac:dyDescent="0.2">
      <c r="B26"/>
    </row>
    <row r="27" spans="2:4" x14ac:dyDescent="0.2">
      <c r="B27"/>
    </row>
    <row r="28" spans="2:4" x14ac:dyDescent="0.2">
      <c r="B28"/>
    </row>
    <row r="29" spans="2:4" x14ac:dyDescent="0.2">
      <c r="B29"/>
    </row>
    <row r="30" spans="2:4" x14ac:dyDescent="0.2">
      <c r="B30"/>
    </row>
    <row r="31" spans="2:4" x14ac:dyDescent="0.2">
      <c r="B31"/>
    </row>
    <row r="32" spans="2:4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 s="4"/>
    </row>
    <row r="47" spans="2:2" x14ac:dyDescent="0.2">
      <c r="B47" s="4"/>
    </row>
    <row r="48" spans="2:2" x14ac:dyDescent="0.2">
      <c r="B48" s="4"/>
    </row>
    <row r="49" spans="2:2" x14ac:dyDescent="0.2">
      <c r="B49" s="4"/>
    </row>
    <row r="50" spans="2:2" x14ac:dyDescent="0.2">
      <c r="B50" s="4"/>
    </row>
    <row r="51" spans="2:2" x14ac:dyDescent="0.2">
      <c r="B51" s="4"/>
    </row>
    <row r="52" spans="2:2" x14ac:dyDescent="0.2">
      <c r="B52" s="4"/>
    </row>
    <row r="53" spans="2:2" x14ac:dyDescent="0.2">
      <c r="B53" s="4"/>
    </row>
    <row r="54" spans="2:2" x14ac:dyDescent="0.2">
      <c r="B54" s="4"/>
    </row>
    <row r="55" spans="2:2" x14ac:dyDescent="0.2">
      <c r="B55" s="4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</sheetData>
  <mergeCells count="5">
    <mergeCell ref="C3:D3"/>
    <mergeCell ref="E3:F3"/>
    <mergeCell ref="G3:H3"/>
    <mergeCell ref="M15:N15"/>
    <mergeCell ref="O15:P1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810FB-7613-456C-A88A-17B497F97A32}">
  <dimension ref="A1:P63"/>
  <sheetViews>
    <sheetView zoomScale="90" zoomScaleNormal="90" workbookViewId="0">
      <selection activeCell="M24" sqref="M24"/>
    </sheetView>
  </sheetViews>
  <sheetFormatPr baseColWidth="10" defaultColWidth="8.83203125" defaultRowHeight="15" x14ac:dyDescent="0.2"/>
  <cols>
    <col min="2" max="2" width="25.1640625" style="2" customWidth="1"/>
    <col min="4" max="4" width="10.83203125" customWidth="1"/>
  </cols>
  <sheetData>
    <row r="1" spans="1:16" x14ac:dyDescent="0.2">
      <c r="B1" s="15"/>
      <c r="C1" s="13"/>
    </row>
    <row r="2" spans="1:16" x14ac:dyDescent="0.2">
      <c r="B2" s="2" t="s">
        <v>16</v>
      </c>
      <c r="C2">
        <v>22.414000000000001</v>
      </c>
      <c r="D2" t="s">
        <v>12</v>
      </c>
    </row>
    <row r="3" spans="1:16" x14ac:dyDescent="0.2">
      <c r="C3" s="24" t="s">
        <v>13</v>
      </c>
      <c r="D3" s="24"/>
      <c r="E3" s="24" t="s">
        <v>14</v>
      </c>
      <c r="F3" s="24"/>
      <c r="G3" s="24" t="s">
        <v>15</v>
      </c>
      <c r="H3" s="24"/>
    </row>
    <row r="4" spans="1:16" x14ac:dyDescent="0.2">
      <c r="A4" t="s">
        <v>31</v>
      </c>
      <c r="B4" s="17" t="s">
        <v>0</v>
      </c>
      <c r="C4" s="1">
        <v>1.9</v>
      </c>
      <c r="D4" s="1">
        <f>C4*12/$C$8</f>
        <v>0.45967741935483869</v>
      </c>
      <c r="E4" s="1">
        <v>6</v>
      </c>
      <c r="F4" s="1">
        <f>E4*12/$E$8</f>
        <v>0.44444444444444442</v>
      </c>
      <c r="G4" s="1">
        <v>57</v>
      </c>
      <c r="H4" s="1">
        <f>G4*12/$G$8</f>
        <v>0.77375565610859731</v>
      </c>
    </row>
    <row r="5" spans="1:16" x14ac:dyDescent="0.2">
      <c r="A5" t="s">
        <v>30</v>
      </c>
      <c r="B5" s="17" t="s">
        <v>1</v>
      </c>
      <c r="C5" s="1">
        <v>3.8</v>
      </c>
      <c r="D5" s="1">
        <f>C5*1/$C$8</f>
        <v>7.6612903225806453E-2</v>
      </c>
      <c r="E5" s="1">
        <v>10</v>
      </c>
      <c r="F5" s="1">
        <f>E5*1/$E$8</f>
        <v>6.1728395061728392E-2</v>
      </c>
      <c r="G5" s="1">
        <v>104</v>
      </c>
      <c r="H5" s="1">
        <f>G5*1/$G$8</f>
        <v>0.11764705882352941</v>
      </c>
    </row>
    <row r="6" spans="1:16" x14ac:dyDescent="0.2">
      <c r="A6" t="s">
        <v>28</v>
      </c>
      <c r="B6" s="17" t="s">
        <v>2</v>
      </c>
      <c r="C6" s="1">
        <v>1</v>
      </c>
      <c r="D6" s="1">
        <f>C6*16/$C$8</f>
        <v>0.32258064516129037</v>
      </c>
      <c r="E6" s="1">
        <v>5</v>
      </c>
      <c r="F6" s="1">
        <f>E6*16/$E$8</f>
        <v>0.49382716049382713</v>
      </c>
      <c r="G6" s="1">
        <v>6</v>
      </c>
      <c r="H6" s="1">
        <f>G6*16/$G$8</f>
        <v>0.10859728506787331</v>
      </c>
    </row>
    <row r="7" spans="1:16" x14ac:dyDescent="0.2">
      <c r="A7" t="s">
        <v>29</v>
      </c>
      <c r="B7" s="17" t="s">
        <v>3</v>
      </c>
      <c r="C7" s="1">
        <v>0.5</v>
      </c>
      <c r="D7" s="1">
        <f>C7*14/$C$8</f>
        <v>0.14112903225806453</v>
      </c>
      <c r="E7" s="1">
        <v>0</v>
      </c>
      <c r="F7" s="1">
        <f>E7*14/$E$8</f>
        <v>0</v>
      </c>
      <c r="G7" s="1">
        <v>0</v>
      </c>
      <c r="H7" s="1">
        <f>G7*14/$G$8</f>
        <v>0</v>
      </c>
    </row>
    <row r="8" spans="1:16" x14ac:dyDescent="0.2">
      <c r="B8" s="17" t="s">
        <v>49</v>
      </c>
      <c r="C8" s="1">
        <f>12*C4+1*C5+16*C6+14*C7</f>
        <v>49.599999999999994</v>
      </c>
      <c r="D8" s="1"/>
      <c r="E8" s="1">
        <f>12*E4+1*E5+16*E6+14*E7</f>
        <v>162</v>
      </c>
      <c r="F8" s="1"/>
      <c r="G8" s="1">
        <f>12*G4+1*G5+16*G6+14*G7</f>
        <v>884</v>
      </c>
      <c r="H8" s="1"/>
    </row>
    <row r="9" spans="1:16" x14ac:dyDescent="0.2">
      <c r="B9" s="3"/>
    </row>
    <row r="10" spans="1:16" x14ac:dyDescent="0.2">
      <c r="B10" s="15" t="s">
        <v>54</v>
      </c>
      <c r="C10" s="13">
        <f>Calculation_Sheet!I25</f>
        <v>0.58700000000000008</v>
      </c>
      <c r="D10" s="13"/>
      <c r="E10" s="13">
        <f>Calculation_Sheet!J25</f>
        <v>0.21</v>
      </c>
      <c r="F10" s="13"/>
      <c r="G10" s="13">
        <f>Calculation_Sheet!K25</f>
        <v>0.19500000000000001</v>
      </c>
      <c r="H10" s="13"/>
      <c r="I10" s="13">
        <f>C10+E10+G10</f>
        <v>0.99199999999999999</v>
      </c>
    </row>
    <row r="11" spans="1:16" x14ac:dyDescent="0.2">
      <c r="B11" s="15" t="s">
        <v>32</v>
      </c>
      <c r="C11" s="18">
        <f>C10/$I$10</f>
        <v>0.59173387096774199</v>
      </c>
      <c r="D11" s="8"/>
      <c r="E11" s="18">
        <f>E10/$I$10</f>
        <v>0.21169354838709678</v>
      </c>
      <c r="F11" s="13"/>
      <c r="G11" s="18">
        <f>G10/$I$10</f>
        <v>0.19657258064516131</v>
      </c>
      <c r="H11" s="13"/>
      <c r="I11" s="13"/>
      <c r="K11" t="s">
        <v>53</v>
      </c>
    </row>
    <row r="12" spans="1:16" x14ac:dyDescent="0.2">
      <c r="B12" s="19" t="s">
        <v>31</v>
      </c>
      <c r="C12" s="8">
        <f>$D$4*$C$10</f>
        <v>0.26983064516129035</v>
      </c>
      <c r="D12" s="8"/>
      <c r="E12" s="13">
        <f>$F$4*$E$10</f>
        <v>9.3333333333333324E-2</v>
      </c>
      <c r="F12" s="13"/>
      <c r="G12" s="13">
        <f>$G$10*$H$4</f>
        <v>0.15088235294117647</v>
      </c>
      <c r="H12" s="13"/>
      <c r="I12" s="13">
        <f>C12+E12+G12</f>
        <v>0.51404633143580014</v>
      </c>
      <c r="K12" s="14">
        <f>34.1*I12+102*I13+6.3*I15-9.85*I14</f>
        <v>23.205017488052569</v>
      </c>
    </row>
    <row r="13" spans="1:16" x14ac:dyDescent="0.2">
      <c r="B13" s="19" t="s">
        <v>30</v>
      </c>
      <c r="C13" s="8">
        <f>$D$5*$C$10</f>
        <v>4.4971774193548392E-2</v>
      </c>
      <c r="D13" s="8"/>
      <c r="E13" s="13">
        <f>$F$5*$E$10</f>
        <v>1.2962962962962963E-2</v>
      </c>
      <c r="F13" s="13"/>
      <c r="G13" s="13">
        <f>$G$10*$H$5</f>
        <v>2.2941176470588236E-2</v>
      </c>
      <c r="H13" s="13"/>
      <c r="I13" s="13">
        <f t="shared" ref="I13:I15" si="0">C13+E13+G13</f>
        <v>8.0875913627099588E-2</v>
      </c>
    </row>
    <row r="14" spans="1:16" x14ac:dyDescent="0.2">
      <c r="B14" s="19" t="s">
        <v>28</v>
      </c>
      <c r="C14" s="8">
        <f>$D$6*$C$10</f>
        <v>0.18935483870967748</v>
      </c>
      <c r="D14" s="8"/>
      <c r="E14" s="13">
        <f>$F$6*$E$10</f>
        <v>0.1037037037037037</v>
      </c>
      <c r="F14" s="13"/>
      <c r="G14" s="13">
        <f>$G$10*$H$6</f>
        <v>2.1176470588235297E-2</v>
      </c>
      <c r="H14" s="13"/>
      <c r="I14" s="13">
        <f t="shared" si="0"/>
        <v>0.31423501300161649</v>
      </c>
    </row>
    <row r="15" spans="1:16" x14ac:dyDescent="0.2">
      <c r="B15" s="19" t="s">
        <v>29</v>
      </c>
      <c r="C15" s="8">
        <f>$D$7*$C$10</f>
        <v>8.2842741935483896E-2</v>
      </c>
      <c r="D15" s="8"/>
      <c r="E15" s="13">
        <f>F7*$E$10</f>
        <v>0</v>
      </c>
      <c r="F15" s="13"/>
      <c r="G15" s="13">
        <f>$G$10*H7</f>
        <v>0</v>
      </c>
      <c r="H15" s="13"/>
      <c r="I15" s="13">
        <f t="shared" si="0"/>
        <v>8.2842741935483896E-2</v>
      </c>
      <c r="L15" s="7"/>
      <c r="M15" s="24"/>
      <c r="N15" s="24"/>
      <c r="O15" s="24"/>
      <c r="P15" s="24"/>
    </row>
    <row r="22" spans="2:4" x14ac:dyDescent="0.2">
      <c r="C22" s="1"/>
      <c r="D22" s="1"/>
    </row>
    <row r="23" spans="2:4" x14ac:dyDescent="0.2">
      <c r="B23"/>
    </row>
    <row r="24" spans="2:4" x14ac:dyDescent="0.2">
      <c r="B24"/>
    </row>
    <row r="25" spans="2:4" x14ac:dyDescent="0.2">
      <c r="B25"/>
    </row>
    <row r="26" spans="2:4" x14ac:dyDescent="0.2">
      <c r="B26"/>
    </row>
    <row r="27" spans="2:4" x14ac:dyDescent="0.2">
      <c r="B27"/>
    </row>
    <row r="28" spans="2:4" x14ac:dyDescent="0.2">
      <c r="B28"/>
    </row>
    <row r="29" spans="2:4" x14ac:dyDescent="0.2">
      <c r="B29"/>
    </row>
    <row r="30" spans="2:4" x14ac:dyDescent="0.2">
      <c r="B30"/>
    </row>
    <row r="31" spans="2:4" x14ac:dyDescent="0.2">
      <c r="B31"/>
    </row>
    <row r="32" spans="2:4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 s="4"/>
    </row>
    <row r="47" spans="2:2" x14ac:dyDescent="0.2">
      <c r="B47" s="4"/>
    </row>
    <row r="48" spans="2:2" x14ac:dyDescent="0.2">
      <c r="B48" s="4"/>
    </row>
    <row r="49" spans="2:2" x14ac:dyDescent="0.2">
      <c r="B49" s="4"/>
    </row>
    <row r="50" spans="2:2" x14ac:dyDescent="0.2">
      <c r="B50" s="4"/>
    </row>
    <row r="51" spans="2:2" x14ac:dyDescent="0.2">
      <c r="B51" s="4"/>
    </row>
    <row r="52" spans="2:2" x14ac:dyDescent="0.2">
      <c r="B52" s="4"/>
    </row>
    <row r="53" spans="2:2" x14ac:dyDescent="0.2">
      <c r="B53" s="4"/>
    </row>
    <row r="54" spans="2:2" x14ac:dyDescent="0.2">
      <c r="B54" s="4"/>
    </row>
    <row r="55" spans="2:2" x14ac:dyDescent="0.2">
      <c r="B55" s="4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</sheetData>
  <mergeCells count="5">
    <mergeCell ref="C3:D3"/>
    <mergeCell ref="E3:F3"/>
    <mergeCell ref="G3:H3"/>
    <mergeCell ref="M15:N15"/>
    <mergeCell ref="O15:P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Final_Tables</vt:lpstr>
      <vt:lpstr>Calculation_Sheet</vt:lpstr>
      <vt:lpstr>Quarry_data</vt:lpstr>
      <vt:lpstr>HHV_Arthr_Max</vt:lpstr>
      <vt:lpstr>HHV_Arthr_Plat</vt:lpstr>
      <vt:lpstr>HHV_Botryococcus_br</vt:lpstr>
      <vt:lpstr>HHV_Chlamy_ren</vt:lpstr>
      <vt:lpstr>HHV_Chlo_sp</vt:lpstr>
      <vt:lpstr>HHV_Chlo_pyro</vt:lpstr>
      <vt:lpstr>HHV_Chlo_vulg</vt:lpstr>
      <vt:lpstr>HHV_Haemat_pluv</vt:lpstr>
      <vt:lpstr>HHV_Iso_gal</vt:lpstr>
      <vt:lpstr>HHV_Scene_Obl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giulia.grisolia</dc:creator>
  <cp:lastModifiedBy>Microsoft Office User</cp:lastModifiedBy>
  <dcterms:created xsi:type="dcterms:W3CDTF">2021-05-28T16:54:03Z</dcterms:created>
  <dcterms:modified xsi:type="dcterms:W3CDTF">2021-08-28T15:27:26Z</dcterms:modified>
</cp:coreProperties>
</file>